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11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235" tabRatio="852" firstSheet="8" activeTab="16"/>
  </bookViews>
  <sheets>
    <sheet name="10.1 PI-2012" sheetId="1" r:id="rId1"/>
    <sheet name="10.2 PEfectiva" sheetId="2" r:id="rId2"/>
    <sheet name="10.3 Incre PI 2012" sheetId="3" r:id="rId3"/>
    <sheet name="10.4 Prod" sheetId="4" r:id="rId4"/>
    <sheet name="10.5 LINEAS" sheetId="5" r:id="rId5"/>
    <sheet name="10.6 VENTAS" sheetId="6" r:id="rId6"/>
    <sheet name="10.7 FACTURAC-2012" sheetId="7" r:id="rId7"/>
    <sheet name="10.8 PRECIO MEDIO" sheetId="8" r:id="rId8"/>
    <sheet name="10.9 VENTAS-CIIU-2012" sheetId="9" r:id="rId9"/>
    <sheet name="10.10 FACT-SECTOR" sheetId="10" r:id="rId10"/>
    <sheet name="10.11 PM-SECTOR" sheetId="11" r:id="rId11"/>
    <sheet name="10.12 CONSUMO_2012 " sheetId="12" r:id="rId12"/>
    <sheet name="10.13 CLIENTES-2012" sheetId="13" r:id="rId13"/>
    <sheet name="10.14 -10.15  y 10.16" sheetId="14" r:id="rId14"/>
    <sheet name="10.17.1 Inversion Privada" sheetId="15" r:id="rId15"/>
    <sheet name="10.17.2 y 3 I Publica y Gub." sheetId="16" r:id="rId16"/>
    <sheet name="10.17.4 Evo.Graficos" sheetId="17" r:id="rId17"/>
    <sheet name="10.18 CMg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'10.1 PI-2012'!$A$2:$O$91</definedName>
    <definedName name="_xlnm.Print_Area" localSheetId="9">'10.10 FACT-SECTOR'!$A$1:$I$59</definedName>
    <definedName name="_xlnm.Print_Area" localSheetId="10">'10.11 PM-SECTOR'!$A$1:$H$62</definedName>
    <definedName name="_xlnm.Print_Area" localSheetId="11">'10.12 CONSUMO_2012 '!$A$2:$H$81</definedName>
    <definedName name="_xlnm.Print_Area" localSheetId="12">'10.13 CLIENTES-2012'!$A$2:$AB$79</definedName>
    <definedName name="_xlnm.Print_Area" localSheetId="13">'10.14 -10.15  y 10.16'!$A$1:$N$95</definedName>
    <definedName name="_xlnm.Print_Area" localSheetId="14">'10.17.1 Inversion Privada'!$A$5:$Z$107</definedName>
    <definedName name="_xlnm.Print_Area" localSheetId="15">'10.17.2 y 3 I Publica y Gub.'!$A$6:$Z$53</definedName>
    <definedName name="_xlnm.Print_Area" localSheetId="16">'10.17.4 Evo.Graficos'!$B$6:$Z$200</definedName>
    <definedName name="_xlnm.Print_Area" localSheetId="1">'10.2 PEfectiva'!$A$2:$O$88</definedName>
    <definedName name="_xlnm.Print_Area" localSheetId="3">'10.4 Prod'!$A$1:$O$91</definedName>
    <definedName name="_xlnm.Print_Area" localSheetId="4">'10.5 LINEAS'!$A$7:$J$76</definedName>
    <definedName name="_xlnm.Print_Area" localSheetId="5">'10.6 VENTAS'!$A$6:$K$85</definedName>
    <definedName name="_xlnm.Print_Area" localSheetId="6">'10.7 FACTURAC-2012'!$A$4:$K$83</definedName>
    <definedName name="_xlnm.Print_Area" localSheetId="7">'10.8 PRECIO MEDIO'!$A$6:$K$84</definedName>
    <definedName name="_xlnm.Print_Area" localSheetId="8">'10.9 VENTAS-CIIU-2012'!$A$1:$M$61</definedName>
  </definedNames>
  <calcPr fullCalcOnLoad="1"/>
</workbook>
</file>

<file path=xl/sharedStrings.xml><?xml version="1.0" encoding="utf-8"?>
<sst xmlns="http://schemas.openxmlformats.org/spreadsheetml/2006/main" count="717" uniqueCount="302">
  <si>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</si>
  <si>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</si>
  <si>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</si>
  <si>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</si>
  <si>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</si>
  <si>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</si>
  <si>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</si>
  <si>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</si>
  <si>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</si>
  <si>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</si>
  <si>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</si>
  <si>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</si>
  <si>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</si>
  <si>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</si>
  <si>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</si>
  <si>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</si>
  <si>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</si>
  <si>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</si>
  <si>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</si>
  <si>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</si>
  <si>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</si>
  <si>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</si>
  <si>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</si>
  <si>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</si>
  <si>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</si>
  <si>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</si>
  <si>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</si>
  <si>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</si>
  <si>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</si>
  <si>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</si>
  <si>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</si>
  <si>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</si>
  <si>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</si>
  <si>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</si>
  <si>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</si>
  <si>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</si>
  <si>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</si>
  <si>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</si>
  <si>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</si>
  <si>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</si>
  <si>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</si>
  <si>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</si>
  <si>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</si>
  <si>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</si>
  <si>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</si>
  <si>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</si>
  <si>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</si>
  <si>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</si>
  <si>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</si>
  <si>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</si>
  <si>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Longitud de Líneas de Transmisión</t>
  </si>
  <si>
    <t>Nivel de Tensión ( kV )</t>
  </si>
  <si>
    <t>60 - 69</t>
  </si>
  <si>
    <t>30 - 50</t>
  </si>
  <si>
    <t xml:space="preserve"> No incluye el ingreso en operación de la Segunda Terna de 220 kV correspondiente a las Líneas</t>
  </si>
  <si>
    <t>Zapallal - Paramonga Nueva - Chimbote, las cuales consituyen 380 km de lìneas principales.</t>
  </si>
  <si>
    <t>10.5  EVOLUCIÓN DE LA LONGITUD TOTAL DE LÍNEAS DE TRANSMISIÓN A NIVEL NACIONAL (km)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</si>
  <si>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</si>
  <si>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</si>
  <si>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</si>
  <si>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</si>
  <si>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</si>
  <si>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</si>
  <si>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>(*) Fuente: Osinerg-GART, DGE/MINEM</t>
  </si>
  <si>
    <t xml:space="preserve">(00 - 10) </t>
  </si>
  <si>
    <t>POTENCIA INSTALADA</t>
  </si>
  <si>
    <t>AÑO</t>
  </si>
  <si>
    <t>Incremento</t>
  </si>
  <si>
    <t>Solar</t>
  </si>
  <si>
    <t>( * ) Información Preliminar</t>
  </si>
  <si>
    <t xml:space="preserve">        98/90</t>
  </si>
  <si>
    <t>SOLAR</t>
  </si>
  <si>
    <t>PRODUCCIÓN DE ENERGÍA</t>
  </si>
  <si>
    <t>10.2.     EVOLUCIÓN DE LA POTENCIA EFECTIVA (MW)</t>
  </si>
  <si>
    <t>10.1.     EVOLUCIÓN DE LA POTENCIA INSTALADA (MW)</t>
  </si>
  <si>
    <t>2011*</t>
  </si>
  <si>
    <t>(*) Entra en operación la primera línea en 500 kV  Chilca-La Planicie-Zapallal perteneciente a la empresa ISA Perú S.A.</t>
  </si>
  <si>
    <t>10.6.    EVOLUCIÓN DE  VENTAS  DE  ENERGÍA  ELÉCTRICA  A CLIENTE FINAL (GWh)</t>
  </si>
  <si>
    <t>TOT</t>
  </si>
  <si>
    <t>FACT $</t>
  </si>
  <si>
    <t>MWh</t>
  </si>
  <si>
    <t>(Cent. US$/kW.h)</t>
  </si>
  <si>
    <t>I</t>
  </si>
  <si>
    <t>C</t>
  </si>
  <si>
    <t>R</t>
  </si>
  <si>
    <t>A</t>
  </si>
  <si>
    <t>Precio Medio por Sector Económico</t>
  </si>
  <si>
    <t>(US$ por MW.h)</t>
  </si>
  <si>
    <t>US $</t>
  </si>
  <si>
    <t>(*) Corresponde al cociente de la facturación y venta total de energía eléctrica</t>
  </si>
  <si>
    <t>Precio Medio *</t>
  </si>
  <si>
    <t>10.8  PRECIO MEDIO DE ENERGÍA ELÉCTRICA  POR TIPO DE EMPRESA Y MERCADO (Cent.US $ / kW.h)</t>
  </si>
  <si>
    <t>10.7.  EVOLUCIÓN DE FACTURACIÓN DE ENERGÍA ELÉCTRICA  A CLIENTE FINAL (miles US $)</t>
  </si>
  <si>
    <t>10.9.    EVOLUCIÓN DE VENTAS DE ENERGÍA ELÉCTRICA POR SECTOR ECONÓMICO (GWh)</t>
  </si>
  <si>
    <t>10.10  EVOLUCIÓN DE FACTURACIÓN DE ENERGÍA ELÉCTRICA POR SECTOR ECONÓMICO (Miles US $)</t>
  </si>
  <si>
    <t>10.11  PRECIO MEDIO DE ENERGÍA ELÉCTRICA POR SECTOR ECONÓMICO (Cent. US$/kW.h)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</si>
  <si>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</si>
  <si>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</si>
  <si>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</si>
  <si>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</si>
  <si>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</si>
  <si>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</si>
  <si>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</si>
  <si>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</si>
  <si>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</si>
  <si>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</si>
  <si>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(**) Se interconecta los sistemas SICN y SIS para conformar el Sistema Eléctrico Interconectado Nacional - SEIN</t>
  </si>
  <si>
    <t>(*) De 1997 a 1999 : SICN + SIS</t>
  </si>
  <si>
    <t xml:space="preserve">Máxima Demanda (MW) </t>
  </si>
  <si>
    <t>Incremento 12/11</t>
  </si>
  <si>
    <t>Variación media 12/07</t>
  </si>
  <si>
    <t>Incremento 12/00</t>
  </si>
  <si>
    <t>Variación media 12/00</t>
  </si>
  <si>
    <t>-</t>
  </si>
  <si>
    <t xml:space="preserve">(10 - 12) </t>
  </si>
  <si>
    <t>(60 - 12)</t>
  </si>
  <si>
    <t xml:space="preserve">(00 - 12) </t>
  </si>
  <si>
    <t>Media anual 12/07</t>
  </si>
  <si>
    <t>Variación Media 12/00</t>
  </si>
  <si>
    <t>Variación  12/11</t>
  </si>
  <si>
    <t>Media anual 12/00</t>
  </si>
  <si>
    <t>Variación 12/11</t>
  </si>
  <si>
    <t>Varación 12/11</t>
  </si>
  <si>
    <t>Media Anual 12/07</t>
  </si>
  <si>
    <t>Media Anual 12/00</t>
  </si>
  <si>
    <t>MERCADO ELECTRICO</t>
  </si>
  <si>
    <t>USO PROPIO</t>
  </si>
  <si>
    <t>Costo marginal de corto plazo y tarifa en barra, 2006-2012 (US$ por MW.h).</t>
  </si>
  <si>
    <t>10.18 EVOLUCIÓN DEL COSTO MARGINAL Y LA TARIFA EN BARRA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</si>
  <si>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</si>
  <si>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</si>
  <si>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</si>
  <si>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</si>
  <si>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</si>
  <si>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</si>
  <si>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</si>
  <si>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</si>
  <si>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</si>
  <si>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</si>
  <si>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</si>
  <si>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</si>
  <si>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</si>
  <si>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</si>
  <si>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</si>
  <si>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</si>
  <si>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</si>
  <si>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</si>
  <si>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</si>
  <si>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</si>
  <si>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</si>
  <si>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</si>
  <si>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</si>
  <si>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</si>
  <si>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</si>
  <si>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</si>
  <si>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</si>
  <si>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</si>
  <si>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</si>
  <si>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</si>
  <si>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</si>
  <si>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Dic. 2007</t>
  </si>
  <si>
    <t>Abr</t>
  </si>
  <si>
    <t>Dic. 2012</t>
  </si>
  <si>
    <t>May</t>
  </si>
  <si>
    <t>Jun</t>
  </si>
  <si>
    <t>Jul</t>
  </si>
  <si>
    <t>Ago</t>
  </si>
  <si>
    <t>Sep</t>
  </si>
  <si>
    <t>Oct</t>
  </si>
  <si>
    <t>Nov</t>
  </si>
  <si>
    <t>Dic</t>
  </si>
  <si>
    <t>DIC</t>
  </si>
  <si>
    <t>Set</t>
  </si>
  <si>
    <t>10.17 EVOLUCIÓN DE INVERSIONES</t>
  </si>
  <si>
    <t>10.17.1  Inversiones ejecutadas por las empresas privadas 1990 - 2012 (miles de US$)</t>
  </si>
  <si>
    <t>Nº</t>
  </si>
  <si>
    <t>Actividad de generación</t>
  </si>
  <si>
    <t>AGROINDUSTRIAL PARAMONGA</t>
  </si>
  <si>
    <t>AGUAS Y ENERGÍA PERÚ S.A.</t>
  </si>
  <si>
    <t>CEMENTOS LIMA S.A.</t>
  </si>
  <si>
    <t>CEMENTOS NORTE PACASMAYO ENERGÍA S.A.</t>
  </si>
  <si>
    <t>CHINANGO</t>
  </si>
  <si>
    <t>COMPAÑÍA ELÉCTRICA EL PLATANAL S.A.</t>
  </si>
  <si>
    <t>CORPORACION MINERA DEL PERU</t>
  </si>
  <si>
    <t>DUKE ENERGY INTERNATIONAL EGENOR S. EN C. POR A.</t>
  </si>
  <si>
    <t>EDEGEL S.A.A.</t>
  </si>
  <si>
    <t>ELECTRICIDAD ANDINA S.A.</t>
  </si>
  <si>
    <t>EMPRESA ADMINISTRADORA CHUNGAR S.A.C.</t>
  </si>
  <si>
    <r>
      <t>EMPRESA DE GENERACIÓN ELÉCTRICA CAHUA S.A.</t>
    </r>
    <r>
      <rPr>
        <vertAlign val="superscript"/>
        <sz val="10"/>
        <rFont val="Tahoma"/>
        <family val="2"/>
      </rPr>
      <t xml:space="preserve"> 4</t>
    </r>
  </si>
  <si>
    <t>EMPRESA DE GENERACIÓN ELÉCTRICA CHÉVES S.A.</t>
  </si>
  <si>
    <t>EMPRESA DE GENERACIÓN ELÉCTRICA HUANZA S.A.</t>
  </si>
  <si>
    <t>EMPRESA DE GENERACIÓN HIDROELÉCTRICA DEL CUZCO S.A.</t>
  </si>
  <si>
    <t>EMPRESA DE GENERACIÓN MACUSANI S.A.</t>
  </si>
  <si>
    <t>EMPRESA DE GENERACIÓN TERMOELÉCTRICA VENTANILLA S.A.</t>
  </si>
  <si>
    <t>EMPRESA ELÉCTRICA DE PIURA S.A. -EEPSA</t>
  </si>
  <si>
    <t>EMPRESA ELECTRICA NUEVA ESPERANZA</t>
  </si>
  <si>
    <t>EMPRESA GEN. Y COMER. DE SERV.PÚB.DE ELECTRICIDAD PANGOA S.A.</t>
  </si>
  <si>
    <t>EMPRESA PERUANA DE INVERSIONES EN ENERGÍAS RENOVABLES S.A.C.</t>
  </si>
  <si>
    <t>ENERGÍA DEL SUR S.A.</t>
  </si>
  <si>
    <t>FENIX POWER</t>
  </si>
  <si>
    <t>GENERACION ELECTRICA ATOCONGO</t>
  </si>
  <si>
    <t>GENERADORA DE ENERGIA DEL PERU S.A.</t>
  </si>
  <si>
    <r>
      <t>GLOBELEQ PERU S.A.</t>
    </r>
    <r>
      <rPr>
        <vertAlign val="superscript"/>
        <sz val="10"/>
        <rFont val="Tahoma"/>
        <family val="2"/>
      </rPr>
      <t>1</t>
    </r>
  </si>
  <si>
    <t xml:space="preserve">GTS  MAJES S.A.C. </t>
  </si>
  <si>
    <t>GTS  REPARTICION S.A.C.</t>
  </si>
  <si>
    <t>HIDROELECTRICA SANTA CRUZ S.A.C</t>
  </si>
  <si>
    <t>HYDRO TAMBORAQUE</t>
  </si>
  <si>
    <t>KALLPA GENERACIÓN S.A.</t>
  </si>
  <si>
    <t>PERUANA DE ENERGÍA S.A.</t>
  </si>
  <si>
    <t>QUITARACSA S.A. EMPRESA DE GENERACIÓN ELÉCTRICA</t>
  </si>
  <si>
    <t>RER ENERGIA EOLICA SA</t>
  </si>
  <si>
    <t>RER HIDROCAÑETE S.A.</t>
  </si>
  <si>
    <t>RER HUASAHUASI I</t>
  </si>
  <si>
    <t>RER HUASAHUASI II</t>
  </si>
  <si>
    <t>RER MAJA ENERGIA SAC</t>
  </si>
  <si>
    <t>RER PETRAMAS SA CTB HUAYCOLORO</t>
  </si>
  <si>
    <t>RER SOLAR GLOBAL / SOLARPACK SA</t>
  </si>
  <si>
    <t xml:space="preserve">SHOUGANG GENERACIÓN ELÉCTRICA S.A.A. </t>
  </si>
  <si>
    <t xml:space="preserve">SINDICATO ENERGÉTICO S.A. </t>
  </si>
  <si>
    <r>
      <t>SN POWER PERU S.A.</t>
    </r>
    <r>
      <rPr>
        <vertAlign val="superscript"/>
        <sz val="10"/>
        <rFont val="Tahoma"/>
        <family val="2"/>
      </rPr>
      <t>3</t>
    </r>
  </si>
  <si>
    <t>SOCIEDAD MINERA CORONA S.A.</t>
  </si>
  <si>
    <t>TARUCANI GENERATING COMPANY S.A.</t>
  </si>
  <si>
    <t>TERMOCHILCA S.A.C.</t>
  </si>
  <si>
    <t>TERMOSELVA S.R.L.</t>
  </si>
  <si>
    <t>Actividad de transmisión</t>
  </si>
  <si>
    <t>ABENGOA TRANSMISION NORTE</t>
  </si>
  <si>
    <t>CARAVELI  COTAROUSE TRANSMISORA ANDINA S.A.C</t>
  </si>
  <si>
    <t xml:space="preserve">CONSORCIO ENERGÉTICO DE HUANCAVELICA S.A. </t>
  </si>
  <si>
    <t>CONSORCIO MINERO HORIZONTE S.A.</t>
  </si>
  <si>
    <t>CONSORCIO TRANSMANTARO S.A.</t>
  </si>
  <si>
    <t>ETENORTE S.R.L.</t>
  </si>
  <si>
    <t>ETESELVA S.R.L.</t>
  </si>
  <si>
    <t>INTERCONEXIÓN ELÉCTRICA ISA PERÚ S.A.</t>
  </si>
  <si>
    <t>MINERA AURÍFERA RETAMAS S.A.</t>
  </si>
  <si>
    <t>Actividad de distribución</t>
  </si>
  <si>
    <t xml:space="preserve">CONSORCIO ELÉCTRICO DE VILLACURI S.A.C. </t>
  </si>
  <si>
    <t>EDELNOR S.A.A.</t>
  </si>
  <si>
    <t>ELECTRO PANGOA S.A.</t>
  </si>
  <si>
    <t>ELECTROCENTRO S.A.</t>
  </si>
  <si>
    <r>
      <t xml:space="preserve">ELECTRODUNAS S.A.A. </t>
    </r>
    <r>
      <rPr>
        <vertAlign val="superscript"/>
        <sz val="10"/>
        <rFont val="Tahoma"/>
        <family val="2"/>
      </rPr>
      <t>(2)</t>
    </r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</si>
  <si>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</si>
  <si>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</si>
  <si>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</si>
  <si>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</si>
  <si>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</si>
  <si>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</si>
  <si>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</si>
  <si>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</si>
  <si>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r>
      <t>1</t>
    </r>
    <r>
      <rPr>
        <sz val="10"/>
        <rFont val="Arial"/>
        <family val="2"/>
      </rPr>
      <t xml:space="preserve"> Globeleq Perú S.A. realizó inversiones hasta junio del 2007, a partir de julio 2007 opera con el nombre de Kallpa Generación S.A.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</si>
  <si>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partir de abril del año 2010 Electro Sur Medio S.A.A. cambia denominación a Electrodunas S.A.A.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</si>
  <si>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Febrero de 2010 Electroandes cambia su razón social a SN Power Perú S.A.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</si>
  <si>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 el año 2010 Cahua fue absorbida por Electroandes (Actual SN Power) </t>
    </r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</si>
  <si>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</si>
  <si>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</si>
  <si>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</si>
  <si>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</si>
  <si>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</si>
  <si>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</si>
  <si>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</si>
  <si>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</si>
  <si>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</si>
  <si>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</si>
  <si>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</si>
  <si>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</si>
  <si>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</si>
  <si>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</si>
  <si>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</si>
  <si>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</si>
  <si>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</si>
  <si>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</si>
  <si>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</si>
  <si>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</si>
  <si>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</si>
  <si>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t>(*) En Febrero de 2010 Electroandes cambia su razón social a SN Power Perú S.A. (Privado)</t>
  </si>
  <si>
    <t>Inversiones ejecutadas por la Direccion General de Electrificaciòn Rural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</si>
  <si>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</si>
  <si>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</si>
  <si>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Publica</t>
  </si>
  <si>
    <t>Total Inversiones*</t>
  </si>
  <si>
    <t>* Se incluyen las inversiones estatales, privadas y en electrificación rural</t>
  </si>
  <si>
    <t>10.17.4.1     Inversiones estatales, privadas y en electrificación rural (millones US$)</t>
  </si>
  <si>
    <t>Empresa</t>
  </si>
  <si>
    <t>Estatal</t>
  </si>
  <si>
    <t>Rural (*)</t>
  </si>
  <si>
    <t>ANDES GENERATING CORPORATION S.A.C.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</si>
  <si>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</si>
  <si>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</si>
  <si>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</si>
  <si>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</si>
  <si>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</si>
  <si>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</si>
  <si>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EMPRESA DE GENERACION HUALLAGA</t>
  </si>
  <si>
    <t>EOLICA SA</t>
  </si>
  <si>
    <t>HIDROCAÑETE SA</t>
  </si>
  <si>
    <t>HOT ROCK PERU SA</t>
  </si>
  <si>
    <t>T-SOLAR SAC</t>
  </si>
  <si>
    <t>RED DE ENERGÍA DEL PERÚ S.A.  (REP)</t>
  </si>
  <si>
    <t>RED ELÉCTRICA DEL SUR S.A.        (REDESUR)</t>
  </si>
  <si>
    <t>EMPRESA DE DISTRIBUCION ELECTRICA DE CAÑETE  S.A.</t>
  </si>
  <si>
    <t>10.17.4       Total de Inversiones ejecutadas 1990 - 2012 (millones US$)</t>
  </si>
  <si>
    <t>10.17.2  Inversiones ejecutadas por las empresas estatales : Período 1990 - 2012 (miles de US$)</t>
  </si>
  <si>
    <r>
      <t xml:space="preserve">10.17.3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1990 - 2012 (miles de US$)</t>
    </r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</si>
</sst>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%"/>
    <numFmt numFmtId="199" formatCode="0.000%"/>
    <numFmt numFmtId="200" formatCode="#\ ##0.00"/>
    <numFmt numFmtId="201" formatCode="0.0"/>
    <numFmt numFmtId="202" formatCode="#,##0.0"/>
    <numFmt numFmtId="203" formatCode="###\ ###\ ###.00"/>
    <numFmt numFmtId="204" formatCode="0.000"/>
    <numFmt numFmtId="205" formatCode="0.0000"/>
    <numFmt numFmtId="206" formatCode="0.00000"/>
    <numFmt numFmtId="207" formatCode="0.000000"/>
    <numFmt numFmtId="208" formatCode="_-[$€]* #,##0.00_-;\-[$€]* #,##0.00_-;_-[$€]* &quot;-&quot;??_-;_-@_-"/>
    <numFmt numFmtId="209" formatCode="#,##0.000"/>
    <numFmt numFmtId="210" formatCode="#\ #,#00"/>
    <numFmt numFmtId="211" formatCode="#\ ##0"/>
    <numFmt numFmtId="212" formatCode="#\ ##0.0"/>
    <numFmt numFmtId="213" formatCode="##\ ##0.00"/>
    <numFmt numFmtId="214" formatCode="_ * #,##0.0_ ;_ * \-#,##0.0_ ;_ * &quot;-&quot;??_ ;_ @_ "/>
    <numFmt numFmtId="215" formatCode="_(* #,##0.000000_);_(* \(#,##0.000000\);_(* &quot;-&quot;??_);_(@_)"/>
    <numFmt numFmtId="216" formatCode="_-* #,##0\ _€_-;\-* #,##0\ _€_-;_-* &quot;-&quot;\ _€_-;_-@_-"/>
    <numFmt numFmtId="217" formatCode="#,##0.0000"/>
  </numFmts>
  <fonts count="16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Symbol"/>
      <family val="1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color indexed="9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Tahoma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8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9.75"/>
      <color indexed="9"/>
      <name val="Arial"/>
      <family val="0"/>
    </font>
    <font>
      <b/>
      <sz val="16"/>
      <color indexed="8"/>
      <name val="Calibri"/>
      <family val="0"/>
    </font>
    <font>
      <sz val="11.5"/>
      <color indexed="8"/>
      <name val="Arial"/>
      <family val="0"/>
    </font>
    <font>
      <b/>
      <sz val="10.75"/>
      <color indexed="8"/>
      <name val="Arial"/>
      <family val="0"/>
    </font>
    <font>
      <sz val="11.75"/>
      <color indexed="8"/>
      <name val="Arial"/>
      <family val="0"/>
    </font>
    <font>
      <b/>
      <sz val="11.5"/>
      <color indexed="8"/>
      <name val="Arial"/>
      <family val="0"/>
    </font>
    <font>
      <sz val="7.75"/>
      <color indexed="8"/>
      <name val="Calibri"/>
      <family val="0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11.2"/>
      <color indexed="8"/>
      <name val="Arial"/>
      <family val="0"/>
    </font>
    <font>
      <b/>
      <sz val="11.75"/>
      <color indexed="8"/>
      <name val="Arial"/>
      <family val="0"/>
    </font>
    <font>
      <b/>
      <sz val="8.75"/>
      <color indexed="8"/>
      <name val="Arial"/>
      <family val="0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8.45"/>
      <color indexed="8"/>
      <name val="Calibri"/>
      <family val="0"/>
    </font>
    <font>
      <b/>
      <sz val="10.25"/>
      <color indexed="8"/>
      <name val="Arial"/>
      <family val="0"/>
    </font>
    <font>
      <b/>
      <sz val="10.25"/>
      <color indexed="9"/>
      <name val="Arial"/>
      <family val="0"/>
    </font>
    <font>
      <b/>
      <sz val="6.55"/>
      <color indexed="8"/>
      <name val="Arial"/>
      <family val="0"/>
    </font>
    <font>
      <b/>
      <sz val="10.25"/>
      <color indexed="8"/>
      <name val="Calibri"/>
      <family val="0"/>
    </font>
    <font>
      <sz val="10.25"/>
      <color indexed="8"/>
      <name val="Arial"/>
      <family val="0"/>
    </font>
    <font>
      <b/>
      <sz val="9"/>
      <color indexed="12"/>
      <name val="Arial"/>
      <family val="0"/>
    </font>
    <font>
      <b/>
      <sz val="10.75"/>
      <color indexed="12"/>
      <name val="Arial"/>
      <family val="0"/>
    </font>
    <font>
      <b/>
      <sz val="12"/>
      <color indexed="12"/>
      <name val="Arial"/>
      <family val="0"/>
    </font>
    <font>
      <b/>
      <sz val="9"/>
      <color indexed="50"/>
      <name val="Arial"/>
      <family val="0"/>
    </font>
    <font>
      <b/>
      <sz val="10.5"/>
      <color indexed="8"/>
      <name val="Arial"/>
      <family val="0"/>
    </font>
    <font>
      <b/>
      <sz val="13.5"/>
      <color indexed="8"/>
      <name val="Arial"/>
      <family val="0"/>
    </font>
    <font>
      <sz val="15.75"/>
      <color indexed="8"/>
      <name val="Arial"/>
      <family val="0"/>
    </font>
    <font>
      <sz val="10.75"/>
      <color indexed="8"/>
      <name val="Arial"/>
      <family val="0"/>
    </font>
    <font>
      <sz val="7.75"/>
      <color indexed="8"/>
      <name val="Arial"/>
      <family val="0"/>
    </font>
    <font>
      <sz val="22.5"/>
      <color indexed="8"/>
      <name val="Arial"/>
      <family val="0"/>
    </font>
    <font>
      <sz val="8.5"/>
      <color indexed="50"/>
      <name val="Arial"/>
      <family val="0"/>
    </font>
    <font>
      <sz val="8.5"/>
      <color indexed="54"/>
      <name val="Arial"/>
      <family val="0"/>
    </font>
    <font>
      <sz val="8.5"/>
      <color indexed="60"/>
      <name val="Arial"/>
      <family val="0"/>
    </font>
    <font>
      <sz val="8.5"/>
      <color indexed="8"/>
      <name val="Arial"/>
      <family val="0"/>
    </font>
    <font>
      <b/>
      <sz val="7.25"/>
      <color indexed="8"/>
      <name val="Arial"/>
      <family val="0"/>
    </font>
    <font>
      <b/>
      <sz val="6"/>
      <color indexed="8"/>
      <name val="Arial"/>
      <family val="0"/>
    </font>
    <font>
      <sz val="17.5"/>
      <color indexed="8"/>
      <name val="Arial"/>
      <family val="0"/>
    </font>
    <font>
      <b/>
      <sz val="9"/>
      <color indexed="8"/>
      <name val="Arial"/>
      <family val="0"/>
    </font>
    <font>
      <sz val="8"/>
      <color indexed="12"/>
      <name val="Arial"/>
      <family val="0"/>
    </font>
    <font>
      <b/>
      <sz val="8"/>
      <color indexed="19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Tahoma"/>
      <family val="0"/>
    </font>
    <font>
      <sz val="8"/>
      <color indexed="19"/>
      <name val="Arial"/>
      <family val="0"/>
    </font>
    <font>
      <b/>
      <sz val="10"/>
      <color indexed="8"/>
      <name val="Tahoma"/>
      <family val="0"/>
    </font>
    <font>
      <sz val="2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699890613556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5" borderId="0" applyNumberFormat="0" applyBorder="0" applyAlignment="0" applyProtection="0"/>
    <xf numFmtId="0" fontId="135" fillId="8" borderId="0" applyNumberFormat="0" applyBorder="0" applyAlignment="0" applyProtection="0"/>
    <xf numFmtId="0" fontId="135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6" fillId="10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7" fillId="4" borderId="0" applyNumberFormat="0" applyBorder="0" applyAlignment="0" applyProtection="0"/>
    <xf numFmtId="0" fontId="39" fillId="17" borderId="1" applyNumberFormat="0" applyAlignment="0" applyProtection="0"/>
    <xf numFmtId="0" fontId="138" fillId="18" borderId="2" applyNumberFormat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14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9" fillId="7" borderId="1" applyNumberFormat="0" applyAlignment="0" applyProtection="0"/>
    <xf numFmtId="20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0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2" fillId="17" borderId="5" applyNumberFormat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145" fillId="0" borderId="9" applyNumberFormat="0" applyFill="0" applyAlignment="0" applyProtection="0"/>
  </cellStyleXfs>
  <cellXfs count="12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Continuous"/>
    </xf>
    <xf numFmtId="0" fontId="2" fillId="19" borderId="11" xfId="0" applyFont="1" applyFill="1" applyBorder="1" applyAlignment="1">
      <alignment horizontal="centerContinuous"/>
    </xf>
    <xf numFmtId="0" fontId="2" fillId="19" borderId="12" xfId="0" applyFont="1" applyFill="1" applyBorder="1" applyAlignment="1">
      <alignment horizontal="centerContinuous"/>
    </xf>
    <xf numFmtId="0" fontId="2" fillId="19" borderId="13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6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20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27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27" borderId="16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3" fontId="2" fillId="27" borderId="18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12" fillId="0" borderId="0" xfId="0" applyFont="1" applyFill="1" applyAlignment="1">
      <alignment/>
    </xf>
    <xf numFmtId="9" fontId="0" fillId="0" borderId="21" xfId="60" applyFont="1" applyFill="1" applyBorder="1" applyAlignment="1">
      <alignment horizontal="right" vertical="center"/>
    </xf>
    <xf numFmtId="0" fontId="2" fillId="27" borderId="24" xfId="0" applyFont="1" applyFill="1" applyBorder="1" applyAlignment="1">
      <alignment vertical="center"/>
    </xf>
    <xf numFmtId="0" fontId="2" fillId="27" borderId="2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98" fontId="6" fillId="0" borderId="26" xfId="60" applyNumberFormat="1" applyFont="1" applyFill="1" applyBorder="1" applyAlignment="1">
      <alignment vertical="center"/>
    </xf>
    <xf numFmtId="202" fontId="0" fillId="0" borderId="27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28" xfId="0" applyNumberFormat="1" applyFill="1" applyBorder="1" applyAlignment="1">
      <alignment/>
    </xf>
    <xf numFmtId="201" fontId="0" fillId="0" borderId="28" xfId="0" applyNumberForma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27" xfId="0" applyNumberForma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198" fontId="6" fillId="0" borderId="30" xfId="6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198" fontId="6" fillId="0" borderId="32" xfId="6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198" fontId="6" fillId="0" borderId="34" xfId="60" applyNumberFormat="1" applyFont="1" applyFill="1" applyBorder="1" applyAlignment="1">
      <alignment vertical="center"/>
    </xf>
    <xf numFmtId="198" fontId="6" fillId="0" borderId="31" xfId="60" applyNumberFormat="1" applyFont="1" applyFill="1" applyBorder="1" applyAlignment="1">
      <alignment vertical="center"/>
    </xf>
    <xf numFmtId="202" fontId="0" fillId="0" borderId="35" xfId="0" applyNumberFormat="1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2" fillId="19" borderId="37" xfId="0" applyFont="1" applyFill="1" applyBorder="1" applyAlignment="1">
      <alignment horizontal="center"/>
    </xf>
    <xf numFmtId="0" fontId="2" fillId="19" borderId="38" xfId="0" applyFont="1" applyFill="1" applyBorder="1" applyAlignment="1">
      <alignment horizontal="centerContinuous"/>
    </xf>
    <xf numFmtId="0" fontId="2" fillId="19" borderId="39" xfId="0" applyFont="1" applyFill="1" applyBorder="1" applyAlignment="1">
      <alignment/>
    </xf>
    <xf numFmtId="0" fontId="2" fillId="19" borderId="4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19" borderId="17" xfId="0" applyFont="1" applyFill="1" applyBorder="1" applyAlignment="1">
      <alignment/>
    </xf>
    <xf numFmtId="0" fontId="2" fillId="19" borderId="38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19" borderId="32" xfId="0" applyFont="1" applyFill="1" applyBorder="1" applyAlignment="1">
      <alignment horizontal="centerContinuous"/>
    </xf>
    <xf numFmtId="0" fontId="2" fillId="19" borderId="43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202" fontId="0" fillId="0" borderId="44" xfId="0" applyNumberFormat="1" applyFill="1" applyBorder="1" applyAlignment="1">
      <alignment vertical="center"/>
    </xf>
    <xf numFmtId="0" fontId="0" fillId="0" borderId="45" xfId="0" applyFill="1" applyBorder="1" applyAlignment="1">
      <alignment horizontal="center"/>
    </xf>
    <xf numFmtId="202" fontId="4" fillId="0" borderId="42" xfId="0" applyNumberFormat="1" applyFont="1" applyFill="1" applyBorder="1" applyAlignment="1">
      <alignment/>
    </xf>
    <xf numFmtId="202" fontId="0" fillId="0" borderId="46" xfId="0" applyNumberFormat="1" applyFill="1" applyBorder="1" applyAlignment="1">
      <alignment/>
    </xf>
    <xf numFmtId="202" fontId="0" fillId="0" borderId="47" xfId="0" applyNumberFormat="1" applyFill="1" applyBorder="1" applyAlignment="1">
      <alignment/>
    </xf>
    <xf numFmtId="0" fontId="0" fillId="0" borderId="45" xfId="0" applyFill="1" applyBorder="1" applyAlignment="1">
      <alignment horizontal="center" vertical="center"/>
    </xf>
    <xf numFmtId="202" fontId="0" fillId="0" borderId="48" xfId="0" applyNumberFormat="1" applyFill="1" applyBorder="1" applyAlignment="1">
      <alignment vertical="center"/>
    </xf>
    <xf numFmtId="9" fontId="16" fillId="0" borderId="49" xfId="60" applyFont="1" applyFill="1" applyBorder="1" applyAlignment="1">
      <alignment vertical="center"/>
    </xf>
    <xf numFmtId="9" fontId="16" fillId="0" borderId="24" xfId="60" applyFont="1" applyFill="1" applyBorder="1" applyAlignment="1">
      <alignment vertical="center"/>
    </xf>
    <xf numFmtId="202" fontId="0" fillId="0" borderId="50" xfId="0" applyNumberFormat="1" applyFill="1" applyBorder="1" applyAlignment="1">
      <alignment vertical="center"/>
    </xf>
    <xf numFmtId="202" fontId="0" fillId="0" borderId="42" xfId="0" applyNumberFormat="1" applyFill="1" applyBorder="1" applyAlignment="1">
      <alignment vertical="center"/>
    </xf>
    <xf numFmtId="9" fontId="16" fillId="0" borderId="51" xfId="60" applyFont="1" applyFill="1" applyBorder="1" applyAlignment="1">
      <alignment vertical="center"/>
    </xf>
    <xf numFmtId="9" fontId="16" fillId="0" borderId="0" xfId="60" applyFont="1" applyFill="1" applyBorder="1" applyAlignment="1">
      <alignment vertical="center"/>
    </xf>
    <xf numFmtId="202" fontId="0" fillId="0" borderId="45" xfId="0" applyNumberFormat="1" applyFill="1" applyBorder="1" applyAlignment="1">
      <alignment vertical="center"/>
    </xf>
    <xf numFmtId="198" fontId="6" fillId="0" borderId="52" xfId="60" applyNumberFormat="1" applyFont="1" applyFill="1" applyBorder="1" applyAlignment="1">
      <alignment vertical="center"/>
    </xf>
    <xf numFmtId="198" fontId="6" fillId="0" borderId="11" xfId="60" applyNumberFormat="1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198" fontId="6" fillId="0" borderId="43" xfId="6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" fillId="27" borderId="55" xfId="0" applyFont="1" applyFill="1" applyBorder="1" applyAlignment="1">
      <alignment horizontal="center"/>
    </xf>
    <xf numFmtId="3" fontId="4" fillId="26" borderId="55" xfId="0" applyNumberFormat="1" applyFont="1" applyFill="1" applyBorder="1" applyAlignment="1">
      <alignment horizontal="center"/>
    </xf>
    <xf numFmtId="3" fontId="0" fillId="26" borderId="56" xfId="0" applyNumberFormat="1" applyFill="1" applyBorder="1" applyAlignment="1">
      <alignment horizontal="center"/>
    </xf>
    <xf numFmtId="3" fontId="4" fillId="26" borderId="42" xfId="0" applyNumberFormat="1" applyFont="1" applyFill="1" applyBorder="1" applyAlignment="1">
      <alignment horizontal="center"/>
    </xf>
    <xf numFmtId="199" fontId="0" fillId="0" borderId="0" xfId="65" applyNumberFormat="1" applyFont="1" applyAlignment="1">
      <alignment/>
    </xf>
    <xf numFmtId="0" fontId="5" fillId="27" borderId="56" xfId="0" applyFont="1" applyFill="1" applyBorder="1" applyAlignment="1">
      <alignment horizontal="center"/>
    </xf>
    <xf numFmtId="0" fontId="5" fillId="27" borderId="57" xfId="0" applyFont="1" applyFill="1" applyBorder="1" applyAlignment="1">
      <alignment horizontal="center"/>
    </xf>
    <xf numFmtId="0" fontId="5" fillId="27" borderId="55" xfId="0" applyFont="1" applyFill="1" applyBorder="1" applyAlignment="1">
      <alignment horizontal="center"/>
    </xf>
    <xf numFmtId="0" fontId="5" fillId="27" borderId="58" xfId="0" applyFont="1" applyFill="1" applyBorder="1" applyAlignment="1">
      <alignment horizontal="center"/>
    </xf>
    <xf numFmtId="0" fontId="5" fillId="27" borderId="59" xfId="0" applyFont="1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202" fontId="4" fillId="27" borderId="17" xfId="0" applyNumberFormat="1" applyFont="1" applyFill="1" applyBorder="1" applyAlignment="1">
      <alignment/>
    </xf>
    <xf numFmtId="202" fontId="0" fillId="27" borderId="13" xfId="0" applyNumberFormat="1" applyFill="1" applyBorder="1" applyAlignment="1">
      <alignment/>
    </xf>
    <xf numFmtId="202" fontId="0" fillId="27" borderId="16" xfId="0" applyNumberFormat="1" applyFill="1" applyBorder="1" applyAlignment="1">
      <alignment/>
    </xf>
    <xf numFmtId="202" fontId="0" fillId="27" borderId="17" xfId="0" applyNumberFormat="1" applyFill="1" applyBorder="1" applyAlignment="1">
      <alignment/>
    </xf>
    <xf numFmtId="202" fontId="0" fillId="27" borderId="14" xfId="0" applyNumberFormat="1" applyFill="1" applyBorder="1" applyAlignment="1">
      <alignment/>
    </xf>
    <xf numFmtId="202" fontId="0" fillId="27" borderId="18" xfId="0" applyNumberFormat="1" applyFill="1" applyBorder="1" applyAlignment="1">
      <alignment/>
    </xf>
    <xf numFmtId="0" fontId="0" fillId="0" borderId="60" xfId="0" applyFill="1" applyBorder="1" applyAlignment="1">
      <alignment horizontal="center"/>
    </xf>
    <xf numFmtId="202" fontId="4" fillId="0" borderId="55" xfId="0" applyNumberFormat="1" applyFont="1" applyFill="1" applyBorder="1" applyAlignment="1">
      <alignment/>
    </xf>
    <xf numFmtId="202" fontId="0" fillId="0" borderId="56" xfId="0" applyNumberFormat="1" applyFill="1" applyBorder="1" applyAlignment="1">
      <alignment/>
    </xf>
    <xf numFmtId="202" fontId="0" fillId="0" borderId="57" xfId="0" applyNumberFormat="1" applyFill="1" applyBorder="1" applyAlignment="1">
      <alignment/>
    </xf>
    <xf numFmtId="202" fontId="0" fillId="0" borderId="55" xfId="0" applyNumberFormat="1" applyFill="1" applyBorder="1" applyAlignment="1">
      <alignment/>
    </xf>
    <xf numFmtId="202" fontId="0" fillId="0" borderId="58" xfId="0" applyNumberFormat="1" applyFill="1" applyBorder="1" applyAlignment="1">
      <alignment/>
    </xf>
    <xf numFmtId="202" fontId="0" fillId="0" borderId="59" xfId="0" applyNumberFormat="1" applyFill="1" applyBorder="1" applyAlignment="1">
      <alignment/>
    </xf>
    <xf numFmtId="202" fontId="0" fillId="0" borderId="42" xfId="0" applyNumberFormat="1" applyFill="1" applyBorder="1" applyAlignment="1">
      <alignment/>
    </xf>
    <xf numFmtId="9" fontId="6" fillId="0" borderId="28" xfId="65" applyNumberFormat="1" applyFont="1" applyFill="1" applyBorder="1" applyAlignment="1">
      <alignment horizontal="center"/>
    </xf>
    <xf numFmtId="198" fontId="0" fillId="0" borderId="0" xfId="65" applyNumberFormat="1" applyFont="1" applyAlignment="1">
      <alignment horizontal="center"/>
    </xf>
    <xf numFmtId="198" fontId="0" fillId="0" borderId="0" xfId="65" applyNumberFormat="1" applyFont="1" applyAlignment="1">
      <alignment/>
    </xf>
    <xf numFmtId="199" fontId="0" fillId="0" borderId="0" xfId="0" applyNumberFormat="1" applyAlignment="1">
      <alignment/>
    </xf>
    <xf numFmtId="0" fontId="0" fillId="0" borderId="45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4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9" fontId="6" fillId="0" borderId="48" xfId="65" applyFont="1" applyFill="1" applyBorder="1" applyAlignment="1">
      <alignment horizontal="center"/>
    </xf>
    <xf numFmtId="202" fontId="7" fillId="0" borderId="42" xfId="0" applyNumberFormat="1" applyFont="1" applyFill="1" applyBorder="1" applyAlignment="1">
      <alignment/>
    </xf>
    <xf numFmtId="202" fontId="7" fillId="0" borderId="46" xfId="0" applyNumberFormat="1" applyFont="1" applyFill="1" applyBorder="1" applyAlignment="1">
      <alignment/>
    </xf>
    <xf numFmtId="0" fontId="0" fillId="0" borderId="47" xfId="0" applyFill="1" applyBorder="1" applyAlignment="1">
      <alignment vertical="center"/>
    </xf>
    <xf numFmtId="3" fontId="0" fillId="0" borderId="61" xfId="0" applyNumberFormat="1" applyFill="1" applyBorder="1" applyAlignment="1">
      <alignment vertical="center"/>
    </xf>
    <xf numFmtId="3" fontId="0" fillId="0" borderId="62" xfId="0" applyNumberForma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3" fontId="0" fillId="0" borderId="64" xfId="0" applyNumberFormat="1" applyFill="1" applyBorder="1" applyAlignment="1">
      <alignment vertical="center"/>
    </xf>
    <xf numFmtId="3" fontId="0" fillId="0" borderId="63" xfId="0" applyNumberFormat="1" applyFill="1" applyBorder="1" applyAlignment="1">
      <alignment vertical="center"/>
    </xf>
    <xf numFmtId="3" fontId="0" fillId="0" borderId="65" xfId="0" applyNumberFormat="1" applyFill="1" applyBorder="1" applyAlignment="1">
      <alignment vertical="center"/>
    </xf>
    <xf numFmtId="9" fontId="0" fillId="0" borderId="63" xfId="60" applyFont="1" applyFill="1" applyBorder="1" applyAlignment="1">
      <alignment horizontal="right" vertical="center"/>
    </xf>
    <xf numFmtId="9" fontId="6" fillId="0" borderId="10" xfId="65" applyNumberFormat="1" applyFont="1" applyFill="1" applyBorder="1" applyAlignment="1">
      <alignment horizontal="center"/>
    </xf>
    <xf numFmtId="0" fontId="16" fillId="0" borderId="6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9" fontId="6" fillId="0" borderId="31" xfId="65" applyFont="1" applyFill="1" applyBorder="1" applyAlignment="1">
      <alignment horizontal="center"/>
    </xf>
    <xf numFmtId="9" fontId="6" fillId="0" borderId="67" xfId="65" applyNumberFormat="1" applyFont="1" applyFill="1" applyBorder="1" applyAlignment="1">
      <alignment horizontal="center"/>
    </xf>
    <xf numFmtId="9" fontId="6" fillId="0" borderId="68" xfId="65" applyFont="1" applyFill="1" applyBorder="1" applyAlignment="1">
      <alignment horizontal="center"/>
    </xf>
    <xf numFmtId="9" fontId="6" fillId="0" borderId="10" xfId="65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22" fillId="27" borderId="10" xfId="0" applyNumberFormat="1" applyFont="1" applyFill="1" applyBorder="1" applyAlignment="1">
      <alignment horizontal="center"/>
    </xf>
    <xf numFmtId="202" fontId="22" fillId="28" borderId="69" xfId="0" applyNumberFormat="1" applyFont="1" applyFill="1" applyBorder="1" applyAlignment="1">
      <alignment horizontal="center"/>
    </xf>
    <xf numFmtId="3" fontId="22" fillId="27" borderId="70" xfId="0" applyNumberFormat="1" applyFont="1" applyFill="1" applyBorder="1" applyAlignment="1">
      <alignment horizontal="center"/>
    </xf>
    <xf numFmtId="3" fontId="22" fillId="27" borderId="69" xfId="0" applyNumberFormat="1" applyFont="1" applyFill="1" applyBorder="1" applyAlignment="1">
      <alignment horizontal="center"/>
    </xf>
    <xf numFmtId="9" fontId="6" fillId="0" borderId="38" xfId="65" applyFont="1" applyFill="1" applyBorder="1" applyAlignment="1">
      <alignment horizontal="center"/>
    </xf>
    <xf numFmtId="0" fontId="4" fillId="0" borderId="10" xfId="0" applyFont="1" applyBorder="1" applyAlignment="1">
      <alignment/>
    </xf>
    <xf numFmtId="9" fontId="6" fillId="0" borderId="69" xfId="65" applyNumberFormat="1" applyFont="1" applyFill="1" applyBorder="1" applyAlignment="1">
      <alignment horizontal="center"/>
    </xf>
    <xf numFmtId="9" fontId="6" fillId="0" borderId="31" xfId="65" applyNumberFormat="1" applyFont="1" applyFill="1" applyBorder="1" applyAlignment="1">
      <alignment horizontal="center"/>
    </xf>
    <xf numFmtId="9" fontId="6" fillId="0" borderId="69" xfId="65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202" fontId="0" fillId="0" borderId="10" xfId="0" applyNumberFormat="1" applyBorder="1" applyAlignment="1">
      <alignment/>
    </xf>
    <xf numFmtId="3" fontId="0" fillId="26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26" borderId="10" xfId="0" applyNumberFormat="1" applyFont="1" applyFill="1" applyBorder="1" applyAlignment="1">
      <alignment horizontal="center" vertical="center"/>
    </xf>
    <xf numFmtId="19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2" xfId="0" applyBorder="1" applyAlignment="1">
      <alignment/>
    </xf>
    <xf numFmtId="9" fontId="6" fillId="0" borderId="50" xfId="65" applyNumberFormat="1" applyFont="1" applyFill="1" applyBorder="1" applyAlignment="1">
      <alignment horizontal="center"/>
    </xf>
    <xf numFmtId="9" fontId="6" fillId="0" borderId="45" xfId="65" applyNumberFormat="1" applyFont="1" applyFill="1" applyBorder="1" applyAlignment="1">
      <alignment horizontal="center"/>
    </xf>
    <xf numFmtId="9" fontId="6" fillId="0" borderId="45" xfId="65" applyFont="1" applyFill="1" applyBorder="1" applyAlignment="1">
      <alignment horizontal="center"/>
    </xf>
    <xf numFmtId="198" fontId="6" fillId="0" borderId="71" xfId="65" applyNumberFormat="1" applyFont="1" applyFill="1" applyBorder="1" applyAlignment="1">
      <alignment horizontal="center" vertical="center"/>
    </xf>
    <xf numFmtId="198" fontId="6" fillId="0" borderId="52" xfId="65" applyNumberFormat="1" applyFont="1" applyFill="1" applyBorder="1" applyAlignment="1">
      <alignment horizontal="center" vertical="center"/>
    </xf>
    <xf numFmtId="198" fontId="6" fillId="0" borderId="34" xfId="65" applyNumberFormat="1" applyFont="1" applyFill="1" applyBorder="1" applyAlignment="1">
      <alignment horizontal="center" vertical="center"/>
    </xf>
    <xf numFmtId="198" fontId="6" fillId="0" borderId="69" xfId="65" applyNumberFormat="1" applyFont="1" applyFill="1" applyBorder="1" applyAlignment="1">
      <alignment horizontal="center" vertical="center"/>
    </xf>
    <xf numFmtId="198" fontId="6" fillId="0" borderId="14" xfId="65" applyNumberFormat="1" applyFont="1" applyFill="1" applyBorder="1" applyAlignment="1">
      <alignment horizontal="center" vertical="center"/>
    </xf>
    <xf numFmtId="198" fontId="6" fillId="0" borderId="53" xfId="65" applyNumberFormat="1" applyFont="1" applyFill="1" applyBorder="1" applyAlignment="1">
      <alignment horizontal="center" vertical="center"/>
    </xf>
    <xf numFmtId="9" fontId="6" fillId="0" borderId="72" xfId="65" applyFont="1" applyFill="1" applyBorder="1" applyAlignment="1">
      <alignment horizontal="center" vertical="center"/>
    </xf>
    <xf numFmtId="9" fontId="6" fillId="0" borderId="33" xfId="65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/>
    </xf>
    <xf numFmtId="198" fontId="6" fillId="0" borderId="42" xfId="60" applyNumberFormat="1" applyFont="1" applyFill="1" applyBorder="1" applyAlignment="1">
      <alignment horizontal="center" vertical="center"/>
    </xf>
    <xf numFmtId="198" fontId="6" fillId="0" borderId="69" xfId="60" applyNumberFormat="1" applyFont="1" applyFill="1" applyBorder="1" applyAlignment="1">
      <alignment horizontal="center" vertical="center"/>
    </xf>
    <xf numFmtId="198" fontId="6" fillId="0" borderId="16" xfId="60" applyNumberFormat="1" applyFont="1" applyFill="1" applyBorder="1" applyAlignment="1">
      <alignment vertical="center"/>
    </xf>
    <xf numFmtId="198" fontId="6" fillId="0" borderId="0" xfId="60" applyNumberFormat="1" applyFont="1" applyFill="1" applyBorder="1" applyAlignment="1">
      <alignment vertical="center"/>
    </xf>
    <xf numFmtId="198" fontId="6" fillId="0" borderId="49" xfId="60" applyNumberFormat="1" applyFont="1" applyFill="1" applyBorder="1" applyAlignment="1">
      <alignment vertical="center"/>
    </xf>
    <xf numFmtId="0" fontId="0" fillId="0" borderId="42" xfId="0" applyFill="1" applyBorder="1" applyAlignment="1">
      <alignment/>
    </xf>
    <xf numFmtId="198" fontId="6" fillId="0" borderId="51" xfId="60" applyNumberFormat="1" applyFont="1" applyFill="1" applyBorder="1" applyAlignment="1">
      <alignment vertical="center"/>
    </xf>
    <xf numFmtId="198" fontId="6" fillId="0" borderId="73" xfId="6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98" fontId="6" fillId="0" borderId="18" xfId="60" applyNumberFormat="1" applyFont="1" applyFill="1" applyBorder="1" applyAlignment="1">
      <alignment horizontal="center" vertical="center"/>
    </xf>
    <xf numFmtId="198" fontId="6" fillId="0" borderId="26" xfId="60" applyNumberFormat="1" applyFont="1" applyFill="1" applyBorder="1" applyAlignment="1">
      <alignment horizontal="center" vertical="center"/>
    </xf>
    <xf numFmtId="9" fontId="6" fillId="0" borderId="26" xfId="60" applyFont="1" applyFill="1" applyBorder="1" applyAlignment="1">
      <alignment horizontal="center" vertical="center"/>
    </xf>
    <xf numFmtId="9" fontId="6" fillId="0" borderId="74" xfId="60" applyFont="1" applyFill="1" applyBorder="1" applyAlignment="1">
      <alignment horizontal="center" vertical="center"/>
    </xf>
    <xf numFmtId="9" fontId="6" fillId="0" borderId="75" xfId="60" applyFont="1" applyFill="1" applyBorder="1" applyAlignment="1">
      <alignment horizontal="center" vertical="center"/>
    </xf>
    <xf numFmtId="198" fontId="6" fillId="0" borderId="10" xfId="65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right"/>
    </xf>
    <xf numFmtId="9" fontId="6" fillId="0" borderId="17" xfId="60" applyNumberFormat="1" applyFont="1" applyFill="1" applyBorder="1" applyAlignment="1">
      <alignment horizontal="center" vertical="center"/>
    </xf>
    <xf numFmtId="9" fontId="6" fillId="0" borderId="69" xfId="60" applyNumberFormat="1" applyFont="1" applyFill="1" applyBorder="1" applyAlignment="1">
      <alignment horizontal="center" vertical="center"/>
    </xf>
    <xf numFmtId="9" fontId="6" fillId="0" borderId="66" xfId="65" applyFont="1" applyFill="1" applyBorder="1" applyAlignment="1">
      <alignment horizontal="center"/>
    </xf>
    <xf numFmtId="9" fontId="6" fillId="0" borderId="74" xfId="65" applyFont="1" applyFill="1" applyBorder="1" applyAlignment="1">
      <alignment horizontal="center"/>
    </xf>
    <xf numFmtId="202" fontId="7" fillId="0" borderId="45" xfId="0" applyNumberFormat="1" applyFont="1" applyFill="1" applyBorder="1" applyAlignment="1">
      <alignment/>
    </xf>
    <xf numFmtId="3" fontId="4" fillId="26" borderId="39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" fontId="0" fillId="0" borderId="28" xfId="0" applyNumberForma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77" xfId="0" applyNumberFormat="1" applyFill="1" applyBorder="1" applyAlignment="1">
      <alignment/>
    </xf>
    <xf numFmtId="4" fontId="0" fillId="0" borderId="78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9" fontId="6" fillId="0" borderId="34" xfId="65" applyNumberFormat="1" applyFont="1" applyFill="1" applyBorder="1" applyAlignment="1">
      <alignment horizontal="center"/>
    </xf>
    <xf numFmtId="9" fontId="6" fillId="0" borderId="29" xfId="65" applyFont="1" applyFill="1" applyBorder="1" applyAlignment="1">
      <alignment horizontal="center"/>
    </xf>
    <xf numFmtId="9" fontId="6" fillId="0" borderId="0" xfId="6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66" xfId="0" applyFont="1" applyFill="1" applyBorder="1" applyAlignment="1">
      <alignment horizontal="center"/>
    </xf>
    <xf numFmtId="3" fontId="0" fillId="0" borderId="79" xfId="0" applyNumberFormat="1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3" fontId="0" fillId="0" borderId="83" xfId="0" applyNumberFormat="1" applyFill="1" applyBorder="1" applyAlignment="1">
      <alignment vertical="center"/>
    </xf>
    <xf numFmtId="9" fontId="0" fillId="0" borderId="82" xfId="60" applyFont="1" applyFill="1" applyBorder="1" applyAlignment="1">
      <alignment horizontal="right" vertical="center"/>
    </xf>
    <xf numFmtId="0" fontId="0" fillId="0" borderId="84" xfId="0" applyFill="1" applyBorder="1" applyAlignment="1">
      <alignment vertical="center"/>
    </xf>
    <xf numFmtId="3" fontId="0" fillId="0" borderId="0" xfId="0" applyNumberFormat="1" applyBorder="1" applyAlignment="1">
      <alignment/>
    </xf>
    <xf numFmtId="198" fontId="0" fillId="0" borderId="0" xfId="0" applyNumberForma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3" fontId="0" fillId="0" borderId="80" xfId="0" applyNumberFormat="1" applyFill="1" applyBorder="1" applyAlignment="1">
      <alignment vertical="center"/>
    </xf>
    <xf numFmtId="3" fontId="0" fillId="0" borderId="85" xfId="0" applyNumberFormat="1" applyFill="1" applyBorder="1" applyAlignment="1">
      <alignment vertical="center"/>
    </xf>
    <xf numFmtId="3" fontId="0" fillId="0" borderId="82" xfId="0" applyNumberFormat="1" applyFill="1" applyBorder="1" applyAlignment="1">
      <alignment vertical="center"/>
    </xf>
    <xf numFmtId="0" fontId="3" fillId="27" borderId="48" xfId="0" applyFont="1" applyFill="1" applyBorder="1" applyAlignment="1">
      <alignment/>
    </xf>
    <xf numFmtId="0" fontId="2" fillId="27" borderId="42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/>
    </xf>
    <xf numFmtId="0" fontId="2" fillId="27" borderId="48" xfId="0" applyFont="1" applyFill="1" applyBorder="1" applyAlignment="1">
      <alignment horizontal="center"/>
    </xf>
    <xf numFmtId="0" fontId="2" fillId="27" borderId="50" xfId="0" applyFont="1" applyFill="1" applyBorder="1" applyAlignment="1">
      <alignment horizontal="center"/>
    </xf>
    <xf numFmtId="0" fontId="2" fillId="27" borderId="77" xfId="0" applyFont="1" applyFill="1" applyBorder="1" applyAlignment="1">
      <alignment horizontal="center"/>
    </xf>
    <xf numFmtId="0" fontId="2" fillId="27" borderId="66" xfId="0" applyFont="1" applyFill="1" applyBorder="1" applyAlignment="1">
      <alignment horizontal="center"/>
    </xf>
    <xf numFmtId="202" fontId="0" fillId="0" borderId="0" xfId="0" applyNumberFormat="1" applyAlignment="1">
      <alignment horizontal="right"/>
    </xf>
    <xf numFmtId="0" fontId="0" fillId="0" borderId="86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88" xfId="0" applyNumberFormat="1" applyFill="1" applyBorder="1" applyAlignment="1">
      <alignment vertical="center"/>
    </xf>
    <xf numFmtId="3" fontId="0" fillId="0" borderId="89" xfId="0" applyNumberFormat="1" applyFill="1" applyBorder="1" applyAlignment="1">
      <alignment vertical="center"/>
    </xf>
    <xf numFmtId="3" fontId="0" fillId="0" borderId="84" xfId="0" applyNumberFormat="1" applyFill="1" applyBorder="1" applyAlignment="1">
      <alignment vertical="center"/>
    </xf>
    <xf numFmtId="0" fontId="2" fillId="27" borderId="16" xfId="0" applyFont="1" applyFill="1" applyBorder="1" applyAlignment="1">
      <alignment horizontal="center" vertical="center" wrapText="1"/>
    </xf>
    <xf numFmtId="0" fontId="2" fillId="27" borderId="48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71" xfId="0" applyFont="1" applyFill="1" applyBorder="1" applyAlignment="1">
      <alignment vertical="center"/>
    </xf>
    <xf numFmtId="0" fontId="16" fillId="0" borderId="74" xfId="0" applyFont="1" applyFill="1" applyBorder="1" applyAlignment="1">
      <alignment vertical="center"/>
    </xf>
    <xf numFmtId="0" fontId="16" fillId="0" borderId="69" xfId="0" applyFont="1" applyFill="1" applyBorder="1" applyAlignment="1">
      <alignment vertical="center"/>
    </xf>
    <xf numFmtId="0" fontId="0" fillId="0" borderId="0" xfId="57">
      <alignment/>
      <protection/>
    </xf>
    <xf numFmtId="0" fontId="1" fillId="0" borderId="0" xfId="57" applyFont="1" applyAlignment="1">
      <alignment horizontal="centerContinuous"/>
      <protection/>
    </xf>
    <xf numFmtId="0" fontId="0" fillId="0" borderId="0" xfId="57" applyBorder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200" fontId="0" fillId="0" borderId="0" xfId="57" applyNumberFormat="1">
      <alignment/>
      <protection/>
    </xf>
    <xf numFmtId="0" fontId="0" fillId="0" borderId="27" xfId="57" applyBorder="1" applyAlignment="1">
      <alignment horizontal="center"/>
      <protection/>
    </xf>
    <xf numFmtId="201" fontId="0" fillId="0" borderId="27" xfId="57" applyNumberFormat="1" applyBorder="1" applyAlignment="1">
      <alignment horizontal="center"/>
      <protection/>
    </xf>
    <xf numFmtId="0" fontId="0" fillId="0" borderId="28" xfId="57" applyBorder="1">
      <alignment/>
      <protection/>
    </xf>
    <xf numFmtId="3" fontId="0" fillId="28" borderId="45" xfId="57" applyNumberFormat="1" applyFill="1" applyBorder="1" applyAlignment="1">
      <alignment horizontal="center"/>
      <protection/>
    </xf>
    <xf numFmtId="202" fontId="4" fillId="28" borderId="51" xfId="57" applyNumberFormat="1" applyFont="1" applyFill="1" applyBorder="1">
      <alignment/>
      <protection/>
    </xf>
    <xf numFmtId="202" fontId="0" fillId="28" borderId="51" xfId="57" applyNumberFormat="1" applyFill="1" applyBorder="1">
      <alignment/>
      <protection/>
    </xf>
    <xf numFmtId="202" fontId="0" fillId="28" borderId="27" xfId="57" applyNumberFormat="1" applyFill="1" applyBorder="1">
      <alignment/>
      <protection/>
    </xf>
    <xf numFmtId="201" fontId="0" fillId="28" borderId="28" xfId="57" applyNumberFormat="1" applyFill="1" applyBorder="1" applyAlignment="1" quotePrefix="1">
      <alignment horizontal="center"/>
      <protection/>
    </xf>
    <xf numFmtId="202" fontId="0" fillId="28" borderId="0" xfId="57" applyNumberFormat="1" applyFill="1" applyBorder="1">
      <alignment/>
      <protection/>
    </xf>
    <xf numFmtId="201" fontId="0" fillId="28" borderId="27" xfId="57" applyNumberFormat="1" applyFill="1" applyBorder="1">
      <alignment/>
      <protection/>
    </xf>
    <xf numFmtId="202" fontId="0" fillId="28" borderId="46" xfId="57" applyNumberFormat="1" applyFont="1" applyFill="1" applyBorder="1">
      <alignment/>
      <protection/>
    </xf>
    <xf numFmtId="198" fontId="6" fillId="0" borderId="28" xfId="62" applyNumberFormat="1" applyFont="1" applyBorder="1" applyAlignment="1">
      <alignment horizontal="center"/>
    </xf>
    <xf numFmtId="211" fontId="0" fillId="7" borderId="45" xfId="57" applyNumberFormat="1" applyFill="1" applyBorder="1" applyAlignment="1">
      <alignment horizontal="center"/>
      <protection/>
    </xf>
    <xf numFmtId="202" fontId="4" fillId="7" borderId="51" xfId="57" applyNumberFormat="1" applyFont="1" applyFill="1" applyBorder="1">
      <alignment/>
      <protection/>
    </xf>
    <xf numFmtId="202" fontId="0" fillId="7" borderId="51" xfId="57" applyNumberFormat="1" applyFill="1" applyBorder="1">
      <alignment/>
      <protection/>
    </xf>
    <xf numFmtId="202" fontId="0" fillId="7" borderId="27" xfId="57" applyNumberFormat="1" applyFill="1" applyBorder="1">
      <alignment/>
      <protection/>
    </xf>
    <xf numFmtId="201" fontId="0" fillId="7" borderId="28" xfId="57" applyNumberFormat="1" applyFill="1" applyBorder="1" applyAlignment="1" quotePrefix="1">
      <alignment horizontal="center"/>
      <protection/>
    </xf>
    <xf numFmtId="201" fontId="0" fillId="7" borderId="27" xfId="57" applyNumberFormat="1" applyFill="1" applyBorder="1">
      <alignment/>
      <protection/>
    </xf>
    <xf numFmtId="202" fontId="0" fillId="7" borderId="46" xfId="57" applyNumberFormat="1" applyFont="1" applyFill="1" applyBorder="1">
      <alignment/>
      <protection/>
    </xf>
    <xf numFmtId="211" fontId="0" fillId="28" borderId="45" xfId="57" applyNumberFormat="1" applyFill="1" applyBorder="1" applyAlignment="1">
      <alignment horizontal="center"/>
      <protection/>
    </xf>
    <xf numFmtId="202" fontId="0" fillId="28" borderId="28" xfId="57" applyNumberFormat="1" applyFill="1" applyBorder="1">
      <alignment/>
      <protection/>
    </xf>
    <xf numFmtId="201" fontId="0" fillId="28" borderId="28" xfId="57" applyNumberFormat="1" applyFill="1" applyBorder="1" applyAlignment="1">
      <alignment horizontal="right"/>
      <protection/>
    </xf>
    <xf numFmtId="201" fontId="0" fillId="28" borderId="28" xfId="57" applyNumberFormat="1" applyFill="1" applyBorder="1">
      <alignment/>
      <protection/>
    </xf>
    <xf numFmtId="202" fontId="0" fillId="7" borderId="28" xfId="57" applyNumberFormat="1" applyFill="1" applyBorder="1">
      <alignment/>
      <protection/>
    </xf>
    <xf numFmtId="201" fontId="0" fillId="7" borderId="28" xfId="57" applyNumberFormat="1" applyFill="1" applyBorder="1" applyAlignment="1">
      <alignment horizontal="right"/>
      <protection/>
    </xf>
    <xf numFmtId="201" fontId="0" fillId="7" borderId="28" xfId="57" applyNumberFormat="1" applyFill="1" applyBorder="1">
      <alignment/>
      <protection/>
    </xf>
    <xf numFmtId="201" fontId="0" fillId="0" borderId="28" xfId="57" applyNumberForma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14" xfId="57" applyBorder="1" applyAlignment="1">
      <alignment horizontal="center"/>
      <protection/>
    </xf>
    <xf numFmtId="201" fontId="0" fillId="0" borderId="13" xfId="57" applyNumberFormat="1" applyBorder="1" applyAlignment="1">
      <alignment horizontal="center"/>
      <protection/>
    </xf>
    <xf numFmtId="198" fontId="6" fillId="0" borderId="13" xfId="62" applyNumberFormat="1" applyFont="1" applyBorder="1" applyAlignment="1">
      <alignment horizontal="center"/>
    </xf>
    <xf numFmtId="0" fontId="0" fillId="0" borderId="0" xfId="57" applyFill="1">
      <alignment/>
      <protection/>
    </xf>
    <xf numFmtId="202" fontId="0" fillId="0" borderId="27" xfId="57" applyNumberFormat="1" applyFill="1" applyBorder="1">
      <alignment/>
      <protection/>
    </xf>
    <xf numFmtId="201" fontId="0" fillId="0" borderId="28" xfId="57" applyNumberFormat="1" applyFill="1" applyBorder="1">
      <alignment/>
      <protection/>
    </xf>
    <xf numFmtId="202" fontId="0" fillId="0" borderId="28" xfId="57" applyNumberFormat="1" applyFill="1" applyBorder="1">
      <alignment/>
      <protection/>
    </xf>
    <xf numFmtId="211" fontId="0" fillId="29" borderId="45" xfId="57" applyNumberFormat="1" applyFill="1" applyBorder="1" applyAlignment="1">
      <alignment horizontal="center"/>
      <protection/>
    </xf>
    <xf numFmtId="202" fontId="0" fillId="29" borderId="27" xfId="57" applyNumberFormat="1" applyFill="1" applyBorder="1">
      <alignment/>
      <protection/>
    </xf>
    <xf numFmtId="201" fontId="0" fillId="29" borderId="28" xfId="57" applyNumberFormat="1" applyFill="1" applyBorder="1">
      <alignment/>
      <protection/>
    </xf>
    <xf numFmtId="202" fontId="0" fillId="29" borderId="28" xfId="57" applyNumberFormat="1" applyFill="1" applyBorder="1">
      <alignment/>
      <protection/>
    </xf>
    <xf numFmtId="202" fontId="0" fillId="29" borderId="46" xfId="57" applyNumberFormat="1" applyFont="1" applyFill="1" applyBorder="1">
      <alignment/>
      <protection/>
    </xf>
    <xf numFmtId="202" fontId="0" fillId="0" borderId="46" xfId="57" applyNumberFormat="1" applyFont="1" applyFill="1" applyBorder="1">
      <alignment/>
      <protection/>
    </xf>
    <xf numFmtId="0" fontId="16" fillId="7" borderId="90" xfId="57" applyFont="1" applyFill="1" applyBorder="1">
      <alignment/>
      <protection/>
    </xf>
    <xf numFmtId="9" fontId="6" fillId="7" borderId="91" xfId="62" applyNumberFormat="1" applyFont="1" applyFill="1" applyBorder="1" applyAlignment="1">
      <alignment horizontal="center"/>
    </xf>
    <xf numFmtId="9" fontId="6" fillId="7" borderId="92" xfId="62" applyNumberFormat="1" applyFont="1" applyFill="1" applyBorder="1" applyAlignment="1">
      <alignment horizontal="center"/>
    </xf>
    <xf numFmtId="9" fontId="6" fillId="0" borderId="0" xfId="62" applyNumberFormat="1" applyFont="1" applyFill="1" applyBorder="1" applyAlignment="1">
      <alignment horizontal="center"/>
    </xf>
    <xf numFmtId="9" fontId="6" fillId="7" borderId="93" xfId="62" applyNumberFormat="1" applyFont="1" applyFill="1" applyBorder="1" applyAlignment="1">
      <alignment horizontal="center"/>
    </xf>
    <xf numFmtId="0" fontId="4" fillId="0" borderId="11" xfId="57" applyFont="1" applyBorder="1" applyAlignment="1">
      <alignment/>
      <protection/>
    </xf>
    <xf numFmtId="0" fontId="4" fillId="0" borderId="70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16" fillId="0" borderId="94" xfId="57" applyFont="1" applyFill="1" applyBorder="1">
      <alignment/>
      <protection/>
    </xf>
    <xf numFmtId="9" fontId="6" fillId="0" borderId="95" xfId="62" applyNumberFormat="1" applyFont="1" applyFill="1" applyBorder="1" applyAlignment="1">
      <alignment horizontal="center"/>
    </xf>
    <xf numFmtId="9" fontId="6" fillId="0" borderId="96" xfId="62" applyNumberFormat="1" applyFont="1" applyFill="1" applyBorder="1" applyAlignment="1">
      <alignment horizontal="center"/>
    </xf>
    <xf numFmtId="9" fontId="6" fillId="0" borderId="97" xfId="62" applyNumberFormat="1" applyFont="1" applyFill="1" applyBorder="1" applyAlignment="1">
      <alignment horizontal="center"/>
    </xf>
    <xf numFmtId="9" fontId="0" fillId="0" borderId="0" xfId="57" applyNumberFormat="1" applyFill="1" applyBorder="1">
      <alignment/>
      <protection/>
    </xf>
    <xf numFmtId="9" fontId="0" fillId="0" borderId="0" xfId="57" applyNumberFormat="1" applyFill="1">
      <alignment/>
      <protection/>
    </xf>
    <xf numFmtId="200" fontId="0" fillId="0" borderId="0" xfId="57" applyNumberFormat="1" applyFill="1">
      <alignment/>
      <protection/>
    </xf>
    <xf numFmtId="0" fontId="4" fillId="0" borderId="58" xfId="57" applyFont="1" applyFill="1" applyBorder="1" applyAlignment="1">
      <alignment horizontal="center"/>
      <protection/>
    </xf>
    <xf numFmtId="0" fontId="4" fillId="0" borderId="57" xfId="57" applyFont="1" applyFill="1" applyBorder="1" applyAlignment="1">
      <alignment horizontal="center"/>
      <protection/>
    </xf>
    <xf numFmtId="0" fontId="4" fillId="0" borderId="98" xfId="57" applyFont="1" applyFill="1" applyBorder="1" applyAlignment="1">
      <alignment horizontal="center"/>
      <protection/>
    </xf>
    <xf numFmtId="0" fontId="16" fillId="7" borderId="94" xfId="57" applyFont="1" applyFill="1" applyBorder="1">
      <alignment/>
      <protection/>
    </xf>
    <xf numFmtId="9" fontId="6" fillId="7" borderId="95" xfId="62" applyNumberFormat="1" applyFont="1" applyFill="1" applyBorder="1" applyAlignment="1">
      <alignment horizontal="center"/>
    </xf>
    <xf numFmtId="9" fontId="6" fillId="7" borderId="96" xfId="62" applyNumberFormat="1" applyFont="1" applyFill="1" applyBorder="1" applyAlignment="1">
      <alignment horizontal="center"/>
    </xf>
    <xf numFmtId="9" fontId="6" fillId="7" borderId="97" xfId="62" applyNumberFormat="1" applyFont="1" applyFill="1" applyBorder="1" applyAlignment="1">
      <alignment horizontal="center"/>
    </xf>
    <xf numFmtId="0" fontId="4" fillId="0" borderId="58" xfId="57" applyFont="1" applyBorder="1" applyAlignment="1">
      <alignment horizontal="center"/>
      <protection/>
    </xf>
    <xf numFmtId="0" fontId="4" fillId="0" borderId="57" xfId="57" applyFont="1" applyBorder="1" applyAlignment="1">
      <alignment horizontal="center"/>
      <protection/>
    </xf>
    <xf numFmtId="0" fontId="4" fillId="0" borderId="98" xfId="57" applyFont="1" applyBorder="1" applyAlignment="1">
      <alignment horizontal="center"/>
      <protection/>
    </xf>
    <xf numFmtId="0" fontId="16" fillId="0" borderId="99" xfId="57" applyFont="1" applyFill="1" applyBorder="1">
      <alignment/>
      <protection/>
    </xf>
    <xf numFmtId="9" fontId="6" fillId="0" borderId="100" xfId="62" applyNumberFormat="1" applyFont="1" applyFill="1" applyBorder="1" applyAlignment="1">
      <alignment horizontal="center"/>
    </xf>
    <xf numFmtId="9" fontId="6" fillId="0" borderId="101" xfId="62" applyNumberFormat="1" applyFont="1" applyFill="1" applyBorder="1" applyAlignment="1">
      <alignment horizontal="center"/>
    </xf>
    <xf numFmtId="9" fontId="6" fillId="0" borderId="102" xfId="62" applyNumberFormat="1" applyFont="1" applyFill="1" applyBorder="1" applyAlignment="1">
      <alignment horizontal="center"/>
    </xf>
    <xf numFmtId="9" fontId="6" fillId="0" borderId="103" xfId="62" applyNumberFormat="1" applyFont="1" applyFill="1" applyBorder="1" applyAlignment="1">
      <alignment horizontal="center"/>
    </xf>
    <xf numFmtId="0" fontId="0" fillId="0" borderId="58" xfId="57" applyFill="1" applyBorder="1">
      <alignment/>
      <protection/>
    </xf>
    <xf numFmtId="0" fontId="0" fillId="0" borderId="56" xfId="57" applyFill="1" applyBorder="1">
      <alignment/>
      <protection/>
    </xf>
    <xf numFmtId="0" fontId="7" fillId="0" borderId="0" xfId="57" applyFont="1">
      <alignment/>
      <protection/>
    </xf>
    <xf numFmtId="202" fontId="0" fillId="0" borderId="56" xfId="57" applyNumberFormat="1" applyBorder="1">
      <alignment/>
      <protection/>
    </xf>
    <xf numFmtId="9" fontId="6" fillId="0" borderId="56" xfId="62" applyFont="1" applyBorder="1" applyAlignment="1">
      <alignment horizontal="center"/>
    </xf>
    <xf numFmtId="0" fontId="20" fillId="0" borderId="0" xfId="57" applyFont="1">
      <alignment/>
      <protection/>
    </xf>
    <xf numFmtId="0" fontId="4" fillId="0" borderId="27" xfId="57" applyFont="1" applyBorder="1" applyAlignment="1">
      <alignment horizontal="center"/>
      <protection/>
    </xf>
    <xf numFmtId="202" fontId="0" fillId="0" borderId="28" xfId="57" applyNumberFormat="1" applyBorder="1">
      <alignment/>
      <protection/>
    </xf>
    <xf numFmtId="9" fontId="6" fillId="0" borderId="28" xfId="62" applyFont="1" applyBorder="1" applyAlignment="1">
      <alignment horizontal="center"/>
    </xf>
    <xf numFmtId="0" fontId="4" fillId="0" borderId="14" xfId="57" applyFont="1" applyBorder="1" applyAlignment="1">
      <alignment horizontal="center"/>
      <protection/>
    </xf>
    <xf numFmtId="202" fontId="0" fillId="0" borderId="13" xfId="57" applyNumberFormat="1" applyBorder="1">
      <alignment/>
      <protection/>
    </xf>
    <xf numFmtId="9" fontId="6" fillId="0" borderId="13" xfId="62" applyFont="1" applyBorder="1" applyAlignment="1">
      <alignment horizontal="center"/>
    </xf>
    <xf numFmtId="0" fontId="4" fillId="0" borderId="13" xfId="57" applyFont="1" applyBorder="1">
      <alignment/>
      <protection/>
    </xf>
    <xf numFmtId="0" fontId="0" fillId="0" borderId="14" xfId="57" applyBorder="1">
      <alignment/>
      <protection/>
    </xf>
    <xf numFmtId="9" fontId="6" fillId="0" borderId="104" xfId="62" applyNumberFormat="1" applyFont="1" applyFill="1" applyBorder="1" applyAlignment="1">
      <alignment horizontal="center"/>
    </xf>
    <xf numFmtId="0" fontId="0" fillId="0" borderId="56" xfId="57" applyBorder="1">
      <alignment/>
      <protection/>
    </xf>
    <xf numFmtId="0" fontId="0" fillId="0" borderId="58" xfId="57" applyBorder="1">
      <alignment/>
      <protection/>
    </xf>
    <xf numFmtId="212" fontId="0" fillId="0" borderId="46" xfId="57" applyNumberFormat="1" applyFont="1" applyFill="1" applyBorder="1">
      <alignment/>
      <protection/>
    </xf>
    <xf numFmtId="212" fontId="0" fillId="0" borderId="28" xfId="57" applyNumberFormat="1" applyFill="1" applyBorder="1">
      <alignment/>
      <protection/>
    </xf>
    <xf numFmtId="212" fontId="0" fillId="0" borderId="51" xfId="57" applyNumberFormat="1" applyFill="1" applyBorder="1">
      <alignment/>
      <protection/>
    </xf>
    <xf numFmtId="212" fontId="0" fillId="0" borderId="27" xfId="57" applyNumberFormat="1" applyFill="1" applyBorder="1">
      <alignment/>
      <protection/>
    </xf>
    <xf numFmtId="212" fontId="4" fillId="0" borderId="51" xfId="57" applyNumberFormat="1" applyFont="1" applyFill="1" applyBorder="1">
      <alignment/>
      <protection/>
    </xf>
    <xf numFmtId="211" fontId="0" fillId="29" borderId="45" xfId="57" applyNumberFormat="1" applyFont="1" applyFill="1" applyBorder="1" applyAlignment="1">
      <alignment horizontal="center"/>
      <protection/>
    </xf>
    <xf numFmtId="212" fontId="0" fillId="28" borderId="28" xfId="57" applyNumberFormat="1" applyFill="1" applyBorder="1">
      <alignment/>
      <protection/>
    </xf>
    <xf numFmtId="212" fontId="0" fillId="28" borderId="27" xfId="57" applyNumberFormat="1" applyFill="1" applyBorder="1">
      <alignment/>
      <protection/>
    </xf>
    <xf numFmtId="212" fontId="0" fillId="28" borderId="51" xfId="57" applyNumberFormat="1" applyFill="1" applyBorder="1">
      <alignment/>
      <protection/>
    </xf>
    <xf numFmtId="212" fontId="0" fillId="7" borderId="46" xfId="57" applyNumberFormat="1" applyFont="1" applyFill="1" applyBorder="1">
      <alignment/>
      <protection/>
    </xf>
    <xf numFmtId="212" fontId="0" fillId="7" borderId="28" xfId="57" applyNumberFormat="1" applyFill="1" applyBorder="1">
      <alignment/>
      <protection/>
    </xf>
    <xf numFmtId="212" fontId="0" fillId="7" borderId="51" xfId="57" applyNumberFormat="1" applyFill="1" applyBorder="1">
      <alignment/>
      <protection/>
    </xf>
    <xf numFmtId="212" fontId="0" fillId="7" borderId="27" xfId="57" applyNumberFormat="1" applyFill="1" applyBorder="1">
      <alignment/>
      <protection/>
    </xf>
    <xf numFmtId="212" fontId="4" fillId="7" borderId="51" xfId="57" applyNumberFormat="1" applyFont="1" applyFill="1" applyBorder="1">
      <alignment/>
      <protection/>
    </xf>
    <xf numFmtId="212" fontId="0" fillId="28" borderId="46" xfId="57" applyNumberFormat="1" applyFont="1" applyFill="1" applyBorder="1">
      <alignment/>
      <protection/>
    </xf>
    <xf numFmtId="212" fontId="4" fillId="28" borderId="51" xfId="57" applyNumberFormat="1" applyFont="1" applyFill="1" applyBorder="1">
      <alignment/>
      <protection/>
    </xf>
    <xf numFmtId="212" fontId="0" fillId="28" borderId="0" xfId="57" applyNumberFormat="1" applyFill="1" applyBorder="1">
      <alignment/>
      <protection/>
    </xf>
    <xf numFmtId="212" fontId="0" fillId="28" borderId="28" xfId="57" applyNumberFormat="1" applyFill="1" applyBorder="1" applyAlignment="1">
      <alignment horizontal="right"/>
      <protection/>
    </xf>
    <xf numFmtId="212" fontId="0" fillId="7" borderId="0" xfId="57" applyNumberFormat="1" applyFill="1" applyBorder="1">
      <alignment/>
      <protection/>
    </xf>
    <xf numFmtId="212" fontId="0" fillId="7" borderId="28" xfId="57" applyNumberFormat="1" applyFill="1" applyBorder="1" applyAlignment="1">
      <alignment horizontal="right"/>
      <protection/>
    </xf>
    <xf numFmtId="212" fontId="0" fillId="7" borderId="28" xfId="57" applyNumberFormat="1" applyFill="1" applyBorder="1" applyAlignment="1" quotePrefix="1">
      <alignment horizontal="center"/>
      <protection/>
    </xf>
    <xf numFmtId="0" fontId="10" fillId="0" borderId="0" xfId="57" applyFont="1" applyAlignment="1">
      <alignment horizontal="left"/>
      <protection/>
    </xf>
    <xf numFmtId="0" fontId="4" fillId="29" borderId="48" xfId="57" applyFont="1" applyFill="1" applyBorder="1" applyAlignment="1">
      <alignment horizontal="center"/>
      <protection/>
    </xf>
    <xf numFmtId="0" fontId="4" fillId="29" borderId="52" xfId="57" applyFont="1" applyFill="1" applyBorder="1" applyAlignment="1">
      <alignment horizontal="centerContinuous"/>
      <protection/>
    </xf>
    <xf numFmtId="0" fontId="4" fillId="29" borderId="105" xfId="57" applyFont="1" applyFill="1" applyBorder="1" applyAlignment="1">
      <alignment horizontal="centerContinuous"/>
      <protection/>
    </xf>
    <xf numFmtId="0" fontId="4" fillId="29" borderId="30" xfId="57" applyFont="1" applyFill="1" applyBorder="1" applyAlignment="1">
      <alignment horizontal="centerContinuous"/>
      <protection/>
    </xf>
    <xf numFmtId="0" fontId="0" fillId="29" borderId="105" xfId="57" applyFont="1" applyFill="1" applyBorder="1" applyAlignment="1">
      <alignment horizontal="centerContinuous"/>
      <protection/>
    </xf>
    <xf numFmtId="0" fontId="0" fillId="29" borderId="30" xfId="57" applyFont="1" applyFill="1" applyBorder="1" applyAlignment="1">
      <alignment horizontal="centerContinuous"/>
      <protection/>
    </xf>
    <xf numFmtId="0" fontId="0" fillId="29" borderId="106" xfId="57" applyFont="1" applyFill="1" applyBorder="1" applyAlignment="1">
      <alignment horizontal="centerContinuous"/>
      <protection/>
    </xf>
    <xf numFmtId="0" fontId="4" fillId="29" borderId="15" xfId="57" applyFont="1" applyFill="1" applyBorder="1" applyAlignment="1">
      <alignment horizontal="center"/>
      <protection/>
    </xf>
    <xf numFmtId="0" fontId="6" fillId="29" borderId="76" xfId="57" applyFont="1" applyFill="1" applyBorder="1" applyAlignment="1">
      <alignment horizontal="center"/>
      <protection/>
    </xf>
    <xf numFmtId="0" fontId="6" fillId="29" borderId="68" xfId="57" applyFont="1" applyFill="1" applyBorder="1" applyAlignment="1">
      <alignment horizontal="center"/>
      <protection/>
    </xf>
    <xf numFmtId="0" fontId="6" fillId="29" borderId="107" xfId="57" applyFont="1" applyFill="1" applyBorder="1" applyAlignment="1">
      <alignment horizontal="center"/>
      <protection/>
    </xf>
    <xf numFmtId="0" fontId="6" fillId="29" borderId="54" xfId="57" applyFont="1" applyFill="1" applyBorder="1" applyAlignment="1">
      <alignment horizontal="center"/>
      <protection/>
    </xf>
    <xf numFmtId="0" fontId="6" fillId="29" borderId="72" xfId="57" applyFont="1" applyFill="1" applyBorder="1" applyAlignment="1">
      <alignment horizontal="center"/>
      <protection/>
    </xf>
    <xf numFmtId="0" fontId="6" fillId="29" borderId="108" xfId="57" applyFont="1" applyFill="1" applyBorder="1" applyAlignment="1">
      <alignment horizontal="center"/>
      <protection/>
    </xf>
    <xf numFmtId="211" fontId="0" fillId="28" borderId="45" xfId="57" applyNumberFormat="1" applyFill="1" applyBorder="1" applyAlignment="1" applyProtection="1">
      <alignment horizontal="center"/>
      <protection locked="0"/>
    </xf>
    <xf numFmtId="202" fontId="4" fillId="28" borderId="0" xfId="57" applyNumberFormat="1" applyFont="1" applyFill="1" applyBorder="1" applyProtection="1">
      <alignment/>
      <protection locked="0"/>
    </xf>
    <xf numFmtId="202" fontId="0" fillId="28" borderId="27" xfId="57" applyNumberFormat="1" applyFill="1" applyBorder="1" applyProtection="1">
      <alignment/>
      <protection locked="0"/>
    </xf>
    <xf numFmtId="202" fontId="0" fillId="28" borderId="28" xfId="57" applyNumberFormat="1" applyFill="1" applyBorder="1" applyProtection="1">
      <alignment/>
      <protection locked="0"/>
    </xf>
    <xf numFmtId="202" fontId="0" fillId="28" borderId="51" xfId="57" applyNumberFormat="1" applyFill="1" applyBorder="1" applyProtection="1">
      <alignment/>
      <protection locked="0"/>
    </xf>
    <xf numFmtId="201" fontId="0" fillId="28" borderId="51" xfId="57" applyNumberFormat="1" applyFill="1" applyBorder="1" applyAlignment="1" applyProtection="1" quotePrefix="1">
      <alignment horizontal="center"/>
      <protection locked="0"/>
    </xf>
    <xf numFmtId="202" fontId="0" fillId="28" borderId="0" xfId="57" applyNumberFormat="1" applyFill="1" applyBorder="1" applyProtection="1">
      <alignment/>
      <protection locked="0"/>
    </xf>
    <xf numFmtId="0" fontId="4" fillId="0" borderId="28" xfId="57" applyFont="1" applyBorder="1" applyAlignment="1">
      <alignment horizontal="center"/>
      <protection/>
    </xf>
    <xf numFmtId="211" fontId="0" fillId="29" borderId="45" xfId="57" applyNumberFormat="1" applyFill="1" applyBorder="1" applyAlignment="1" applyProtection="1">
      <alignment horizontal="center"/>
      <protection locked="0"/>
    </xf>
    <xf numFmtId="202" fontId="4" fillId="29" borderId="42" xfId="57" applyNumberFormat="1" applyFont="1" applyFill="1" applyBorder="1" applyProtection="1">
      <alignment/>
      <protection locked="0"/>
    </xf>
    <xf numFmtId="202" fontId="0" fillId="29" borderId="27" xfId="57" applyNumberFormat="1" applyFill="1" applyBorder="1" applyProtection="1">
      <alignment/>
      <protection locked="0"/>
    </xf>
    <xf numFmtId="202" fontId="0" fillId="29" borderId="28" xfId="57" applyNumberFormat="1" applyFill="1" applyBorder="1" applyProtection="1">
      <alignment/>
      <protection locked="0"/>
    </xf>
    <xf numFmtId="202" fontId="0" fillId="29" borderId="51" xfId="57" applyNumberFormat="1" applyFill="1" applyBorder="1" applyProtection="1">
      <alignment/>
      <protection locked="0"/>
    </xf>
    <xf numFmtId="201" fontId="0" fillId="29" borderId="51" xfId="57" applyNumberFormat="1" applyFill="1" applyBorder="1" applyProtection="1">
      <alignment/>
      <protection locked="0"/>
    </xf>
    <xf numFmtId="202" fontId="0" fillId="29" borderId="0" xfId="57" applyNumberFormat="1" applyFill="1" applyBorder="1" applyProtection="1">
      <alignment/>
      <protection locked="0"/>
    </xf>
    <xf numFmtId="202" fontId="0" fillId="29" borderId="0" xfId="57" applyNumberFormat="1" applyFill="1" applyBorder="1">
      <alignment/>
      <protection/>
    </xf>
    <xf numFmtId="202" fontId="4" fillId="28" borderId="42" xfId="57" applyNumberFormat="1" applyFont="1" applyFill="1" applyBorder="1" applyProtection="1">
      <alignment/>
      <protection locked="0"/>
    </xf>
    <xf numFmtId="201" fontId="0" fillId="28" borderId="51" xfId="57" applyNumberFormat="1" applyFill="1" applyBorder="1" applyProtection="1">
      <alignment/>
      <protection locked="0"/>
    </xf>
    <xf numFmtId="201" fontId="0" fillId="28" borderId="28" xfId="57" applyNumberFormat="1" applyFill="1" applyBorder="1" applyAlignment="1" quotePrefix="1">
      <alignment horizontal="right"/>
      <protection/>
    </xf>
    <xf numFmtId="202" fontId="4" fillId="29" borderId="0" xfId="57" applyNumberFormat="1" applyFont="1" applyFill="1" applyBorder="1" applyProtection="1">
      <alignment/>
      <protection locked="0"/>
    </xf>
    <xf numFmtId="201" fontId="0" fillId="0" borderId="14" xfId="57" applyNumberForma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201" fontId="0" fillId="0" borderId="0" xfId="57" applyNumberFormat="1" applyBorder="1" applyAlignment="1">
      <alignment horizontal="center"/>
      <protection/>
    </xf>
    <xf numFmtId="198" fontId="6" fillId="0" borderId="0" xfId="62" applyNumberFormat="1" applyFont="1" applyBorder="1" applyAlignment="1">
      <alignment horizontal="center"/>
    </xf>
    <xf numFmtId="201" fontId="0" fillId="28" borderId="28" xfId="57" applyNumberFormat="1" applyFill="1" applyBorder="1" applyProtection="1">
      <alignment/>
      <protection locked="0"/>
    </xf>
    <xf numFmtId="201" fontId="0" fillId="29" borderId="28" xfId="57" applyNumberFormat="1" applyFill="1" applyBorder="1" applyProtection="1">
      <alignment/>
      <protection locked="0"/>
    </xf>
    <xf numFmtId="211" fontId="0" fillId="28" borderId="45" xfId="57" applyNumberFormat="1" applyFont="1" applyFill="1" applyBorder="1" applyAlignment="1">
      <alignment horizontal="center"/>
      <protection/>
    </xf>
    <xf numFmtId="211" fontId="0" fillId="0" borderId="45" xfId="57" applyNumberFormat="1" applyFont="1" applyFill="1" applyBorder="1" applyAlignment="1">
      <alignment horizontal="center"/>
      <protection/>
    </xf>
    <xf numFmtId="202" fontId="4" fillId="0" borderId="0" xfId="57" applyNumberFormat="1" applyFont="1" applyFill="1" applyBorder="1" applyProtection="1">
      <alignment/>
      <protection locked="0"/>
    </xf>
    <xf numFmtId="202" fontId="0" fillId="0" borderId="27" xfId="57" applyNumberFormat="1" applyFill="1" applyBorder="1" applyProtection="1">
      <alignment/>
      <protection locked="0"/>
    </xf>
    <xf numFmtId="201" fontId="0" fillId="0" borderId="28" xfId="57" applyNumberFormat="1" applyFill="1" applyBorder="1" applyProtection="1">
      <alignment/>
      <protection locked="0"/>
    </xf>
    <xf numFmtId="202" fontId="0" fillId="0" borderId="51" xfId="57" applyNumberFormat="1" applyFill="1" applyBorder="1" applyProtection="1">
      <alignment/>
      <protection locked="0"/>
    </xf>
    <xf numFmtId="202" fontId="0" fillId="0" borderId="0" xfId="57" applyNumberForma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201" fontId="0" fillId="0" borderId="0" xfId="57" applyNumberFormat="1" applyFill="1" applyBorder="1" applyAlignment="1">
      <alignment horizontal="center"/>
      <protection/>
    </xf>
    <xf numFmtId="198" fontId="6" fillId="0" borderId="0" xfId="62" applyNumberFormat="1" applyFont="1" applyFill="1" applyBorder="1" applyAlignment="1">
      <alignment horizontal="center"/>
    </xf>
    <xf numFmtId="0" fontId="0" fillId="17" borderId="0" xfId="57" applyFill="1">
      <alignment/>
      <protection/>
    </xf>
    <xf numFmtId="0" fontId="0" fillId="17" borderId="0" xfId="57" applyFill="1" applyBorder="1" applyAlignment="1">
      <alignment horizontal="center"/>
      <protection/>
    </xf>
    <xf numFmtId="201" fontId="0" fillId="17" borderId="0" xfId="57" applyNumberFormat="1" applyFill="1" applyBorder="1" applyAlignment="1">
      <alignment horizontal="center"/>
      <protection/>
    </xf>
    <xf numFmtId="198" fontId="6" fillId="17" borderId="0" xfId="62" applyNumberFormat="1" applyFont="1" applyFill="1" applyBorder="1" applyAlignment="1">
      <alignment horizontal="center"/>
    </xf>
    <xf numFmtId="0" fontId="16" fillId="29" borderId="90" xfId="57" applyFont="1" applyFill="1" applyBorder="1">
      <alignment/>
      <protection/>
    </xf>
    <xf numFmtId="9" fontId="6" fillId="29" borderId="91" xfId="62" applyNumberFormat="1" applyFont="1" applyFill="1" applyBorder="1" applyAlignment="1">
      <alignment horizontal="center"/>
    </xf>
    <xf numFmtId="198" fontId="6" fillId="29" borderId="93" xfId="62" applyNumberFormat="1" applyFont="1" applyFill="1" applyBorder="1" applyAlignment="1">
      <alignment horizontal="center"/>
    </xf>
    <xf numFmtId="9" fontId="6" fillId="29" borderId="92" xfId="62" applyNumberFormat="1" applyFont="1" applyFill="1" applyBorder="1" applyAlignment="1">
      <alignment horizontal="center"/>
    </xf>
    <xf numFmtId="9" fontId="6" fillId="28" borderId="24" xfId="62" applyNumberFormat="1" applyFont="1" applyFill="1" applyBorder="1" applyAlignment="1">
      <alignment horizontal="center"/>
    </xf>
    <xf numFmtId="9" fontId="0" fillId="28" borderId="24" xfId="57" applyNumberFormat="1" applyFill="1" applyBorder="1">
      <alignment/>
      <protection/>
    </xf>
    <xf numFmtId="9" fontId="6" fillId="29" borderId="93" xfId="62" applyNumberFormat="1" applyFont="1" applyFill="1" applyBorder="1" applyAlignment="1">
      <alignment horizontal="center"/>
    </xf>
    <xf numFmtId="201" fontId="0" fillId="0" borderId="0" xfId="57" applyNumberFormat="1">
      <alignment/>
      <protection/>
    </xf>
    <xf numFmtId="0" fontId="16" fillId="28" borderId="94" xfId="57" applyFont="1" applyFill="1" applyBorder="1">
      <alignment/>
      <protection/>
    </xf>
    <xf numFmtId="9" fontId="6" fillId="28" borderId="95" xfId="62" applyNumberFormat="1" applyFont="1" applyFill="1" applyBorder="1" applyAlignment="1">
      <alignment horizontal="center"/>
    </xf>
    <xf numFmtId="9" fontId="6" fillId="28" borderId="96" xfId="62" applyNumberFormat="1" applyFont="1" applyFill="1" applyBorder="1" applyAlignment="1">
      <alignment horizontal="center"/>
    </xf>
    <xf numFmtId="9" fontId="6" fillId="28" borderId="97" xfId="62" applyNumberFormat="1" applyFont="1" applyFill="1" applyBorder="1" applyAlignment="1">
      <alignment horizontal="center"/>
    </xf>
    <xf numFmtId="9" fontId="6" fillId="28" borderId="0" xfId="62" applyNumberFormat="1" applyFont="1" applyFill="1" applyBorder="1" applyAlignment="1">
      <alignment horizontal="center"/>
    </xf>
    <xf numFmtId="9" fontId="0" fillId="28" borderId="0" xfId="57" applyNumberFormat="1" applyFill="1" applyBorder="1">
      <alignment/>
      <protection/>
    </xf>
    <xf numFmtId="9" fontId="0" fillId="28" borderId="0" xfId="57" applyNumberFormat="1" applyFill="1">
      <alignment/>
      <protection/>
    </xf>
    <xf numFmtId="0" fontId="16" fillId="29" borderId="94" xfId="57" applyFont="1" applyFill="1" applyBorder="1">
      <alignment/>
      <protection/>
    </xf>
    <xf numFmtId="9" fontId="6" fillId="29" borderId="95" xfId="62" applyNumberFormat="1" applyFont="1" applyFill="1" applyBorder="1" applyAlignment="1">
      <alignment horizontal="center"/>
    </xf>
    <xf numFmtId="9" fontId="6" fillId="29" borderId="96" xfId="62" applyNumberFormat="1" applyFont="1" applyFill="1" applyBorder="1" applyAlignment="1">
      <alignment horizontal="center"/>
    </xf>
    <xf numFmtId="9" fontId="6" fillId="29" borderId="97" xfId="62" applyNumberFormat="1" applyFont="1" applyFill="1" applyBorder="1" applyAlignment="1">
      <alignment horizontal="center"/>
    </xf>
    <xf numFmtId="0" fontId="16" fillId="28" borderId="99" xfId="57" applyFont="1" applyFill="1" applyBorder="1">
      <alignment/>
      <protection/>
    </xf>
    <xf numFmtId="9" fontId="6" fillId="28" borderId="104" xfId="62" applyNumberFormat="1" applyFont="1" applyFill="1" applyBorder="1" applyAlignment="1">
      <alignment horizontal="center"/>
    </xf>
    <xf numFmtId="9" fontId="6" fillId="28" borderId="101" xfId="62" applyNumberFormat="1" applyFont="1" applyFill="1" applyBorder="1" applyAlignment="1">
      <alignment horizontal="center"/>
    </xf>
    <xf numFmtId="9" fontId="6" fillId="28" borderId="103" xfId="62" applyNumberFormat="1" applyFont="1" applyFill="1" applyBorder="1" applyAlignment="1">
      <alignment horizontal="center"/>
    </xf>
    <xf numFmtId="198" fontId="0" fillId="0" borderId="0" xfId="62" applyNumberFormat="1" applyAlignment="1">
      <alignment/>
    </xf>
    <xf numFmtId="201" fontId="146" fillId="30" borderId="50" xfId="57" applyNumberFormat="1" applyFont="1" applyFill="1" applyBorder="1" applyAlignment="1">
      <alignment horizontal="center"/>
      <protection/>
    </xf>
    <xf numFmtId="201" fontId="146" fillId="30" borderId="49" xfId="57" applyNumberFormat="1" applyFont="1" applyFill="1" applyBorder="1" applyAlignment="1">
      <alignment horizontal="center"/>
      <protection/>
    </xf>
    <xf numFmtId="201" fontId="146" fillId="30" borderId="30" xfId="57" applyNumberFormat="1" applyFont="1" applyFill="1" applyBorder="1" applyAlignment="1">
      <alignment horizontal="centerContinuous"/>
      <protection/>
    </xf>
    <xf numFmtId="201" fontId="146" fillId="30" borderId="67" xfId="57" applyNumberFormat="1" applyFont="1" applyFill="1" applyBorder="1" applyAlignment="1">
      <alignment horizontal="centerContinuous"/>
      <protection/>
    </xf>
    <xf numFmtId="201" fontId="147" fillId="30" borderId="67" xfId="57" applyNumberFormat="1" applyFont="1" applyFill="1" applyBorder="1" applyAlignment="1">
      <alignment horizontal="centerContinuous"/>
      <protection/>
    </xf>
    <xf numFmtId="201" fontId="147" fillId="30" borderId="52" xfId="57" applyNumberFormat="1" applyFont="1" applyFill="1" applyBorder="1" applyAlignment="1">
      <alignment horizontal="centerContinuous"/>
      <protection/>
    </xf>
    <xf numFmtId="201" fontId="147" fillId="30" borderId="106" xfId="57" applyNumberFormat="1" applyFont="1" applyFill="1" applyBorder="1" applyAlignment="1">
      <alignment horizontal="centerContinuous"/>
      <protection/>
    </xf>
    <xf numFmtId="201" fontId="146" fillId="30" borderId="66" xfId="57" applyNumberFormat="1" applyFont="1" applyFill="1" applyBorder="1" applyAlignment="1">
      <alignment horizontal="center"/>
      <protection/>
    </xf>
    <xf numFmtId="201" fontId="146" fillId="30" borderId="78" xfId="57" applyNumberFormat="1" applyFont="1" applyFill="1" applyBorder="1" applyAlignment="1">
      <alignment horizontal="center"/>
      <protection/>
    </xf>
    <xf numFmtId="201" fontId="148" fillId="30" borderId="107" xfId="57" applyNumberFormat="1" applyFont="1" applyFill="1" applyBorder="1" applyAlignment="1">
      <alignment/>
      <protection/>
    </xf>
    <xf numFmtId="201" fontId="148" fillId="30" borderId="68" xfId="57" applyNumberFormat="1" applyFont="1" applyFill="1" applyBorder="1" applyAlignment="1">
      <alignment horizontal="center"/>
      <protection/>
    </xf>
    <xf numFmtId="201" fontId="149" fillId="30" borderId="107" xfId="57" applyNumberFormat="1" applyFont="1" applyFill="1" applyBorder="1" applyAlignment="1">
      <alignment horizontal="center"/>
      <protection/>
    </xf>
    <xf numFmtId="201" fontId="148" fillId="30" borderId="72" xfId="57" applyNumberFormat="1" applyFont="1" applyFill="1" applyBorder="1" applyAlignment="1">
      <alignment horizontal="center"/>
      <protection/>
    </xf>
    <xf numFmtId="201" fontId="148" fillId="30" borderId="108" xfId="57" applyNumberFormat="1" applyFont="1" applyFill="1" applyBorder="1" applyAlignment="1">
      <alignment horizontal="center"/>
      <protection/>
    </xf>
    <xf numFmtId="3" fontId="4" fillId="26" borderId="0" xfId="0" applyNumberFormat="1" applyFont="1" applyFill="1" applyBorder="1" applyAlignment="1">
      <alignment horizontal="center"/>
    </xf>
    <xf numFmtId="3" fontId="0" fillId="26" borderId="0" xfId="0" applyNumberForma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3" fontId="4" fillId="26" borderId="57" xfId="0" applyNumberFormat="1" applyFont="1" applyFill="1" applyBorder="1" applyAlignment="1">
      <alignment horizontal="center"/>
    </xf>
    <xf numFmtId="3" fontId="4" fillId="26" borderId="43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9" fontId="6" fillId="0" borderId="109" xfId="65" applyFont="1" applyFill="1" applyBorder="1" applyAlignment="1">
      <alignment horizontal="center"/>
    </xf>
    <xf numFmtId="0" fontId="4" fillId="17" borderId="55" xfId="57" applyFont="1" applyFill="1" applyBorder="1" applyAlignment="1">
      <alignment horizontal="center"/>
      <protection/>
    </xf>
    <xf numFmtId="0" fontId="6" fillId="17" borderId="56" xfId="57" applyFont="1" applyFill="1" applyBorder="1" applyAlignment="1">
      <alignment horizontal="center"/>
      <protection/>
    </xf>
    <xf numFmtId="0" fontId="6" fillId="17" borderId="59" xfId="57" applyFont="1" applyFill="1" applyBorder="1" applyAlignment="1">
      <alignment horizontal="center"/>
      <protection/>
    </xf>
    <xf numFmtId="0" fontId="6" fillId="17" borderId="55" xfId="57" applyFont="1" applyFill="1" applyBorder="1" applyAlignment="1">
      <alignment horizontal="center"/>
      <protection/>
    </xf>
    <xf numFmtId="0" fontId="6" fillId="17" borderId="57" xfId="57" applyFont="1" applyFill="1" applyBorder="1" applyAlignment="1">
      <alignment horizontal="center"/>
      <protection/>
    </xf>
    <xf numFmtId="0" fontId="6" fillId="17" borderId="58" xfId="57" applyFont="1" applyFill="1" applyBorder="1" applyAlignment="1">
      <alignment horizontal="center"/>
      <protection/>
    </xf>
    <xf numFmtId="0" fontId="0" fillId="17" borderId="53" xfId="57" applyFont="1" applyFill="1" applyBorder="1" applyAlignment="1">
      <alignment horizontal="center"/>
      <protection/>
    </xf>
    <xf numFmtId="202" fontId="4" fillId="17" borderId="17" xfId="57" applyNumberFormat="1" applyFont="1" applyFill="1" applyBorder="1">
      <alignment/>
      <protection/>
    </xf>
    <xf numFmtId="202" fontId="0" fillId="17" borderId="13" xfId="57" applyNumberFormat="1" applyFont="1" applyFill="1" applyBorder="1">
      <alignment/>
      <protection/>
    </xf>
    <xf numFmtId="202" fontId="0" fillId="17" borderId="18" xfId="57" applyNumberFormat="1" applyFont="1" applyFill="1" applyBorder="1">
      <alignment/>
      <protection/>
    </xf>
    <xf numFmtId="202" fontId="0" fillId="17" borderId="17" xfId="57" applyNumberFormat="1" applyFont="1" applyFill="1" applyBorder="1">
      <alignment/>
      <protection/>
    </xf>
    <xf numFmtId="202" fontId="0" fillId="17" borderId="16" xfId="57" applyNumberFormat="1" applyFont="1" applyFill="1" applyBorder="1">
      <alignment/>
      <protection/>
    </xf>
    <xf numFmtId="202" fontId="0" fillId="17" borderId="14" xfId="57" applyNumberFormat="1" applyFont="1" applyFill="1" applyBorder="1">
      <alignment/>
      <protection/>
    </xf>
    <xf numFmtId="0" fontId="0" fillId="28" borderId="60" xfId="57" applyFont="1" applyFill="1" applyBorder="1" applyAlignment="1">
      <alignment horizontal="center"/>
      <protection/>
    </xf>
    <xf numFmtId="202" fontId="4" fillId="28" borderId="55" xfId="57" applyNumberFormat="1" applyFont="1" applyFill="1" applyBorder="1">
      <alignment/>
      <protection/>
    </xf>
    <xf numFmtId="202" fontId="0" fillId="28" borderId="56" xfId="57" applyNumberFormat="1" applyFont="1" applyFill="1" applyBorder="1">
      <alignment/>
      <protection/>
    </xf>
    <xf numFmtId="202" fontId="0" fillId="28" borderId="59" xfId="57" applyNumberFormat="1" applyFont="1" applyFill="1" applyBorder="1">
      <alignment/>
      <protection/>
    </xf>
    <xf numFmtId="202" fontId="0" fillId="28" borderId="55" xfId="57" applyNumberFormat="1" applyFont="1" applyFill="1" applyBorder="1">
      <alignment/>
      <protection/>
    </xf>
    <xf numFmtId="202" fontId="0" fillId="28" borderId="98" xfId="57" applyNumberFormat="1" applyFont="1" applyFill="1" applyBorder="1">
      <alignment/>
      <protection/>
    </xf>
    <xf numFmtId="202" fontId="0" fillId="28" borderId="58" xfId="57" applyNumberFormat="1" applyFont="1" applyFill="1" applyBorder="1">
      <alignment/>
      <protection/>
    </xf>
    <xf numFmtId="0" fontId="0" fillId="7" borderId="45" xfId="57" applyFont="1" applyFill="1" applyBorder="1" applyAlignment="1">
      <alignment horizontal="center"/>
      <protection/>
    </xf>
    <xf numFmtId="202" fontId="4" fillId="7" borderId="42" xfId="57" applyNumberFormat="1" applyFont="1" applyFill="1" applyBorder="1">
      <alignment/>
      <protection/>
    </xf>
    <xf numFmtId="202" fontId="0" fillId="7" borderId="28" xfId="57" applyNumberFormat="1" applyFont="1" applyFill="1" applyBorder="1">
      <alignment/>
      <protection/>
    </xf>
    <xf numFmtId="202" fontId="0" fillId="7" borderId="47" xfId="57" applyNumberFormat="1" applyFont="1" applyFill="1" applyBorder="1">
      <alignment/>
      <protection/>
    </xf>
    <xf numFmtId="202" fontId="0" fillId="7" borderId="42" xfId="57" applyNumberFormat="1" applyFont="1" applyFill="1" applyBorder="1">
      <alignment/>
      <protection/>
    </xf>
    <xf numFmtId="202" fontId="0" fillId="7" borderId="51" xfId="57" applyNumberFormat="1" applyFont="1" applyFill="1" applyBorder="1">
      <alignment/>
      <protection/>
    </xf>
    <xf numFmtId="202" fontId="0" fillId="7" borderId="27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0" fillId="28" borderId="45" xfId="57" applyFont="1" applyFill="1" applyBorder="1" applyAlignment="1">
      <alignment horizontal="center"/>
      <protection/>
    </xf>
    <xf numFmtId="202" fontId="4" fillId="28" borderId="42" xfId="57" applyNumberFormat="1" applyFont="1" applyFill="1" applyBorder="1">
      <alignment/>
      <protection/>
    </xf>
    <xf numFmtId="202" fontId="0" fillId="28" borderId="28" xfId="57" applyNumberFormat="1" applyFont="1" applyFill="1" applyBorder="1">
      <alignment/>
      <protection/>
    </xf>
    <xf numFmtId="202" fontId="0" fillId="28" borderId="47" xfId="57" applyNumberFormat="1" applyFont="1" applyFill="1" applyBorder="1">
      <alignment/>
      <protection/>
    </xf>
    <xf numFmtId="202" fontId="0" fillId="28" borderId="42" xfId="57" applyNumberFormat="1" applyFont="1" applyFill="1" applyBorder="1">
      <alignment/>
      <protection/>
    </xf>
    <xf numFmtId="202" fontId="0" fillId="28" borderId="51" xfId="57" applyNumberFormat="1" applyFont="1" applyFill="1" applyBorder="1">
      <alignment/>
      <protection/>
    </xf>
    <xf numFmtId="202" fontId="0" fillId="28" borderId="27" xfId="57" applyNumberFormat="1" applyFont="1" applyFill="1" applyBorder="1">
      <alignment/>
      <protection/>
    </xf>
    <xf numFmtId="201" fontId="0" fillId="17" borderId="0" xfId="57" applyNumberFormat="1" applyFill="1">
      <alignment/>
      <protection/>
    </xf>
    <xf numFmtId="201" fontId="0" fillId="28" borderId="28" xfId="57" applyNumberFormat="1" applyFont="1" applyFill="1" applyBorder="1">
      <alignment/>
      <protection/>
    </xf>
    <xf numFmtId="201" fontId="0" fillId="7" borderId="28" xfId="57" applyNumberFormat="1" applyFont="1" applyFill="1" applyBorder="1">
      <alignment/>
      <protection/>
    </xf>
    <xf numFmtId="0" fontId="0" fillId="17" borderId="0" xfId="57" applyFill="1" applyBorder="1">
      <alignment/>
      <protection/>
    </xf>
    <xf numFmtId="202" fontId="0" fillId="7" borderId="0" xfId="57" applyNumberFormat="1" applyFont="1" applyFill="1" applyBorder="1">
      <alignment/>
      <protection/>
    </xf>
    <xf numFmtId="202" fontId="0" fillId="28" borderId="0" xfId="57" applyNumberFormat="1" applyFont="1" applyFill="1" applyBorder="1">
      <alignment/>
      <protection/>
    </xf>
    <xf numFmtId="201" fontId="0" fillId="28" borderId="29" xfId="57" applyNumberFormat="1" applyFont="1" applyFill="1" applyBorder="1">
      <alignment/>
      <protection/>
    </xf>
    <xf numFmtId="9" fontId="7" fillId="7" borderId="110" xfId="62" applyNumberFormat="1" applyFont="1" applyFill="1" applyBorder="1" applyAlignment="1">
      <alignment horizontal="center"/>
    </xf>
    <xf numFmtId="9" fontId="7" fillId="7" borderId="93" xfId="62" applyNumberFormat="1" applyFont="1" applyFill="1" applyBorder="1" applyAlignment="1">
      <alignment horizontal="center"/>
    </xf>
    <xf numFmtId="9" fontId="7" fillId="7" borderId="111" xfId="62" applyNumberFormat="1" applyFont="1" applyFill="1" applyBorder="1" applyAlignment="1">
      <alignment horizontal="center"/>
    </xf>
    <xf numFmtId="9" fontId="7" fillId="7" borderId="112" xfId="62" applyNumberFormat="1" applyFont="1" applyFill="1" applyBorder="1" applyAlignment="1">
      <alignment horizontal="center"/>
    </xf>
    <xf numFmtId="9" fontId="7" fillId="0" borderId="50" xfId="62" applyNumberFormat="1" applyFont="1" applyFill="1" applyBorder="1" applyAlignment="1">
      <alignment horizontal="center"/>
    </xf>
    <xf numFmtId="9" fontId="7" fillId="7" borderId="113" xfId="62" applyNumberFormat="1" applyFont="1" applyFill="1" applyBorder="1" applyAlignment="1">
      <alignment horizontal="center"/>
    </xf>
    <xf numFmtId="202" fontId="0" fillId="0" borderId="0" xfId="57" applyNumberFormat="1">
      <alignment/>
      <protection/>
    </xf>
    <xf numFmtId="0" fontId="16" fillId="28" borderId="114" xfId="57" applyFont="1" applyFill="1" applyBorder="1">
      <alignment/>
      <protection/>
    </xf>
    <xf numFmtId="9" fontId="6" fillId="28" borderId="115" xfId="62" applyNumberFormat="1" applyFont="1" applyFill="1" applyBorder="1" applyAlignment="1">
      <alignment horizontal="center"/>
    </xf>
    <xf numFmtId="9" fontId="6" fillId="28" borderId="116" xfId="62" applyNumberFormat="1" applyFont="1" applyFill="1" applyBorder="1" applyAlignment="1">
      <alignment horizontal="center"/>
    </xf>
    <xf numFmtId="9" fontId="6" fillId="28" borderId="117" xfId="62" applyNumberFormat="1" applyFont="1" applyFill="1" applyBorder="1" applyAlignment="1">
      <alignment horizontal="center"/>
    </xf>
    <xf numFmtId="9" fontId="7" fillId="28" borderId="118" xfId="62" applyNumberFormat="1" applyFont="1" applyFill="1" applyBorder="1" applyAlignment="1">
      <alignment horizontal="center"/>
    </xf>
    <xf numFmtId="9" fontId="7" fillId="28" borderId="116" xfId="62" applyNumberFormat="1" applyFont="1" applyFill="1" applyBorder="1" applyAlignment="1">
      <alignment horizontal="center"/>
    </xf>
    <xf numFmtId="9" fontId="7" fillId="28" borderId="119" xfId="62" applyNumberFormat="1" applyFont="1" applyFill="1" applyBorder="1" applyAlignment="1">
      <alignment horizontal="center"/>
    </xf>
    <xf numFmtId="9" fontId="7" fillId="28" borderId="120" xfId="62" applyNumberFormat="1" applyFont="1" applyFill="1" applyBorder="1" applyAlignment="1">
      <alignment horizontal="center"/>
    </xf>
    <xf numFmtId="9" fontId="7" fillId="0" borderId="45" xfId="62" applyNumberFormat="1" applyFont="1" applyFill="1" applyBorder="1" applyAlignment="1">
      <alignment horizontal="center"/>
    </xf>
    <xf numFmtId="9" fontId="7" fillId="28" borderId="121" xfId="62" applyNumberFormat="1" applyFont="1" applyFill="1" applyBorder="1" applyAlignment="1">
      <alignment horizontal="center"/>
    </xf>
    <xf numFmtId="0" fontId="16" fillId="7" borderId="114" xfId="57" applyFont="1" applyFill="1" applyBorder="1">
      <alignment/>
      <protection/>
    </xf>
    <xf numFmtId="9" fontId="6" fillId="7" borderId="115" xfId="62" applyFont="1" applyFill="1" applyBorder="1" applyAlignment="1">
      <alignment horizontal="center"/>
    </xf>
    <xf numFmtId="9" fontId="6" fillId="7" borderId="116" xfId="62" applyFont="1" applyFill="1" applyBorder="1" applyAlignment="1">
      <alignment horizontal="center"/>
    </xf>
    <xf numFmtId="9" fontId="6" fillId="7" borderId="117" xfId="62" applyFont="1" applyFill="1" applyBorder="1" applyAlignment="1">
      <alignment horizontal="center"/>
    </xf>
    <xf numFmtId="9" fontId="7" fillId="7" borderId="118" xfId="62" applyFont="1" applyFill="1" applyBorder="1" applyAlignment="1">
      <alignment horizontal="center"/>
    </xf>
    <xf numFmtId="9" fontId="7" fillId="7" borderId="116" xfId="62" applyFont="1" applyFill="1" applyBorder="1" applyAlignment="1">
      <alignment horizontal="center"/>
    </xf>
    <xf numFmtId="9" fontId="7" fillId="7" borderId="119" xfId="62" applyFont="1" applyFill="1" applyBorder="1" applyAlignment="1">
      <alignment horizontal="center"/>
    </xf>
    <xf numFmtId="9" fontId="7" fillId="7" borderId="120" xfId="62" applyFont="1" applyFill="1" applyBorder="1" applyAlignment="1">
      <alignment horizontal="center"/>
    </xf>
    <xf numFmtId="9" fontId="7" fillId="0" borderId="45" xfId="62" applyFont="1" applyFill="1" applyBorder="1" applyAlignment="1">
      <alignment horizontal="center"/>
    </xf>
    <xf numFmtId="9" fontId="7" fillId="7" borderId="121" xfId="62" applyFont="1" applyFill="1" applyBorder="1" applyAlignment="1">
      <alignment horizontal="center"/>
    </xf>
    <xf numFmtId="9" fontId="6" fillId="28" borderId="104" xfId="62" applyFont="1" applyFill="1" applyBorder="1" applyAlignment="1">
      <alignment horizontal="center"/>
    </xf>
    <xf numFmtId="9" fontId="6" fillId="28" borderId="101" xfId="62" applyFont="1" applyFill="1" applyBorder="1" applyAlignment="1">
      <alignment horizontal="center"/>
    </xf>
    <xf numFmtId="9" fontId="6" fillId="28" borderId="103" xfId="62" applyFont="1" applyFill="1" applyBorder="1" applyAlignment="1">
      <alignment horizontal="center"/>
    </xf>
    <xf numFmtId="9" fontId="7" fillId="28" borderId="122" xfId="62" applyFont="1" applyFill="1" applyBorder="1" applyAlignment="1">
      <alignment horizontal="center"/>
    </xf>
    <xf numFmtId="9" fontId="7" fillId="28" borderId="101" xfId="62" applyFont="1" applyFill="1" applyBorder="1" applyAlignment="1">
      <alignment horizontal="center"/>
    </xf>
    <xf numFmtId="9" fontId="7" fillId="28" borderId="123" xfId="62" applyFont="1" applyFill="1" applyBorder="1" applyAlignment="1">
      <alignment horizontal="center"/>
    </xf>
    <xf numFmtId="9" fontId="7" fillId="28" borderId="124" xfId="62" applyFont="1" applyFill="1" applyBorder="1" applyAlignment="1">
      <alignment horizontal="center"/>
    </xf>
    <xf numFmtId="9" fontId="7" fillId="28" borderId="102" xfId="62" applyFont="1" applyFill="1" applyBorder="1" applyAlignment="1">
      <alignment horizontal="center"/>
    </xf>
    <xf numFmtId="199" fontId="0" fillId="0" borderId="0" xfId="62" applyNumberFormat="1" applyFont="1" applyAlignment="1">
      <alignment/>
    </xf>
    <xf numFmtId="0" fontId="28" fillId="0" borderId="0" xfId="57" applyFont="1">
      <alignment/>
      <protection/>
    </xf>
    <xf numFmtId="9" fontId="6" fillId="0" borderId="73" xfId="65" applyNumberFormat="1" applyFont="1" applyFill="1" applyBorder="1" applyAlignment="1">
      <alignment horizontal="center"/>
    </xf>
    <xf numFmtId="9" fontId="6" fillId="0" borderId="46" xfId="65" applyNumberFormat="1" applyFont="1" applyFill="1" applyBorder="1" applyAlignment="1">
      <alignment horizontal="center"/>
    </xf>
    <xf numFmtId="0" fontId="4" fillId="31" borderId="55" xfId="0" applyFont="1" applyFill="1" applyBorder="1" applyAlignment="1">
      <alignment horizontal="center"/>
    </xf>
    <xf numFmtId="0" fontId="6" fillId="31" borderId="56" xfId="0" applyFont="1" applyFill="1" applyBorder="1" applyAlignment="1">
      <alignment horizontal="center"/>
    </xf>
    <xf numFmtId="0" fontId="6" fillId="31" borderId="57" xfId="0" applyFont="1" applyFill="1" applyBorder="1" applyAlignment="1">
      <alignment horizontal="center"/>
    </xf>
    <xf numFmtId="0" fontId="6" fillId="31" borderId="55" xfId="0" applyFont="1" applyFill="1" applyBorder="1" applyAlignment="1">
      <alignment horizontal="center"/>
    </xf>
    <xf numFmtId="0" fontId="6" fillId="31" borderId="125" xfId="0" applyFont="1" applyFill="1" applyBorder="1" applyAlignment="1">
      <alignment horizontal="center"/>
    </xf>
    <xf numFmtId="0" fontId="6" fillId="31" borderId="58" xfId="0" applyFont="1" applyFill="1" applyBorder="1" applyAlignment="1">
      <alignment horizontal="center"/>
    </xf>
    <xf numFmtId="0" fontId="6" fillId="31" borderId="59" xfId="0" applyFont="1" applyFill="1" applyBorder="1" applyAlignment="1">
      <alignment horizontal="center"/>
    </xf>
    <xf numFmtId="0" fontId="0" fillId="31" borderId="53" xfId="0" applyFont="1" applyFill="1" applyBorder="1" applyAlignment="1">
      <alignment horizontal="center"/>
    </xf>
    <xf numFmtId="202" fontId="4" fillId="31" borderId="17" xfId="0" applyNumberFormat="1" applyFont="1" applyFill="1" applyBorder="1" applyAlignment="1">
      <alignment/>
    </xf>
    <xf numFmtId="202" fontId="0" fillId="31" borderId="13" xfId="0" applyNumberFormat="1" applyFont="1" applyFill="1" applyBorder="1" applyAlignment="1">
      <alignment/>
    </xf>
    <xf numFmtId="202" fontId="0" fillId="31" borderId="16" xfId="0" applyNumberFormat="1" applyFont="1" applyFill="1" applyBorder="1" applyAlignment="1">
      <alignment/>
    </xf>
    <xf numFmtId="202" fontId="0" fillId="31" borderId="17" xfId="0" applyNumberFormat="1" applyFont="1" applyFill="1" applyBorder="1" applyAlignment="1">
      <alignment/>
    </xf>
    <xf numFmtId="202" fontId="0" fillId="31" borderId="39" xfId="0" applyNumberFormat="1" applyFont="1" applyFill="1" applyBorder="1" applyAlignment="1">
      <alignment/>
    </xf>
    <xf numFmtId="202" fontId="0" fillId="31" borderId="14" xfId="0" applyNumberFormat="1" applyFont="1" applyFill="1" applyBorder="1" applyAlignment="1">
      <alignment/>
    </xf>
    <xf numFmtId="202" fontId="0" fillId="31" borderId="18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42" xfId="0" applyNumberFormat="1" applyFont="1" applyFill="1" applyBorder="1" applyAlignment="1">
      <alignment/>
    </xf>
    <xf numFmtId="202" fontId="0" fillId="0" borderId="37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47" xfId="0" applyNumberFormat="1" applyFont="1" applyFill="1" applyBorder="1" applyAlignment="1">
      <alignment/>
    </xf>
    <xf numFmtId="0" fontId="0" fillId="7" borderId="45" xfId="0" applyFill="1" applyBorder="1" applyAlignment="1">
      <alignment horizontal="center"/>
    </xf>
    <xf numFmtId="202" fontId="4" fillId="7" borderId="42" xfId="0" applyNumberFormat="1" applyFont="1" applyFill="1" applyBorder="1" applyAlignment="1">
      <alignment horizontal="center"/>
    </xf>
    <xf numFmtId="202" fontId="0" fillId="7" borderId="28" xfId="0" applyNumberFormat="1" applyFill="1" applyBorder="1" applyAlignment="1">
      <alignment horizontal="center"/>
    </xf>
    <xf numFmtId="202" fontId="0" fillId="7" borderId="0" xfId="0" applyNumberFormat="1" applyFill="1" applyBorder="1" applyAlignment="1">
      <alignment horizontal="center"/>
    </xf>
    <xf numFmtId="202" fontId="0" fillId="7" borderId="42" xfId="0" applyNumberFormat="1" applyFill="1" applyBorder="1" applyAlignment="1">
      <alignment horizontal="center"/>
    </xf>
    <xf numFmtId="202" fontId="0" fillId="7" borderId="37" xfId="0" applyNumberFormat="1" applyFill="1" applyBorder="1" applyAlignment="1">
      <alignment horizontal="center"/>
    </xf>
    <xf numFmtId="202" fontId="0" fillId="7" borderId="27" xfId="0" applyNumberFormat="1" applyFill="1" applyBorder="1" applyAlignment="1">
      <alignment horizontal="center"/>
    </xf>
    <xf numFmtId="202" fontId="0" fillId="7" borderId="47" xfId="0" applyNumberFormat="1" applyFill="1" applyBorder="1" applyAlignment="1">
      <alignment horizontal="center"/>
    </xf>
    <xf numFmtId="0" fontId="0" fillId="28" borderId="45" xfId="0" applyFill="1" applyBorder="1" applyAlignment="1">
      <alignment horizontal="center"/>
    </xf>
    <xf numFmtId="202" fontId="4" fillId="28" borderId="42" xfId="0" applyNumberFormat="1" applyFont="1" applyFill="1" applyBorder="1" applyAlignment="1">
      <alignment horizontal="center"/>
    </xf>
    <xf numFmtId="202" fontId="0" fillId="28" borderId="28" xfId="0" applyNumberFormat="1" applyFill="1" applyBorder="1" applyAlignment="1">
      <alignment horizontal="center"/>
    </xf>
    <xf numFmtId="202" fontId="0" fillId="28" borderId="0" xfId="0" applyNumberFormat="1" applyFill="1" applyBorder="1" applyAlignment="1">
      <alignment horizontal="center"/>
    </xf>
    <xf numFmtId="202" fontId="0" fillId="28" borderId="42" xfId="0" applyNumberFormat="1" applyFill="1" applyBorder="1" applyAlignment="1">
      <alignment horizontal="center"/>
    </xf>
    <xf numFmtId="202" fontId="0" fillId="28" borderId="37" xfId="0" applyNumberFormat="1" applyFill="1" applyBorder="1" applyAlignment="1">
      <alignment horizontal="center"/>
    </xf>
    <xf numFmtId="202" fontId="0" fillId="28" borderId="27" xfId="0" applyNumberFormat="1" applyFill="1" applyBorder="1" applyAlignment="1">
      <alignment horizontal="center"/>
    </xf>
    <xf numFmtId="202" fontId="0" fillId="28" borderId="47" xfId="0" applyNumberFormat="1" applyFill="1" applyBorder="1" applyAlignment="1">
      <alignment horizontal="center"/>
    </xf>
    <xf numFmtId="201" fontId="0" fillId="28" borderId="28" xfId="0" applyNumberFormat="1" applyFill="1" applyBorder="1" applyAlignment="1">
      <alignment horizontal="center"/>
    </xf>
    <xf numFmtId="201" fontId="0" fillId="7" borderId="28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197" fontId="0" fillId="0" borderId="10" xfId="0" applyNumberFormat="1" applyBorder="1" applyAlignment="1">
      <alignment/>
    </xf>
    <xf numFmtId="0" fontId="0" fillId="28" borderId="53" xfId="0" applyFill="1" applyBorder="1" applyAlignment="1">
      <alignment horizontal="center"/>
    </xf>
    <xf numFmtId="202" fontId="4" fillId="28" borderId="17" xfId="0" applyNumberFormat="1" applyFont="1" applyFill="1" applyBorder="1" applyAlignment="1">
      <alignment horizontal="center"/>
    </xf>
    <xf numFmtId="202" fontId="0" fillId="28" borderId="13" xfId="0" applyNumberFormat="1" applyFill="1" applyBorder="1" applyAlignment="1">
      <alignment horizontal="center"/>
    </xf>
    <xf numFmtId="202" fontId="0" fillId="28" borderId="16" xfId="0" applyNumberFormat="1" applyFill="1" applyBorder="1" applyAlignment="1">
      <alignment horizontal="center"/>
    </xf>
    <xf numFmtId="202" fontId="0" fillId="28" borderId="17" xfId="0" applyNumberFormat="1" applyFill="1" applyBorder="1" applyAlignment="1">
      <alignment horizontal="center"/>
    </xf>
    <xf numFmtId="202" fontId="0" fillId="28" borderId="41" xfId="0" applyNumberFormat="1" applyFill="1" applyBorder="1" applyAlignment="1">
      <alignment horizontal="center"/>
    </xf>
    <xf numFmtId="202" fontId="0" fillId="28" borderId="14" xfId="0" applyNumberFormat="1" applyFill="1" applyBorder="1" applyAlignment="1">
      <alignment horizontal="center"/>
    </xf>
    <xf numFmtId="202" fontId="0" fillId="28" borderId="18" xfId="0" applyNumberFormat="1" applyFill="1" applyBorder="1" applyAlignment="1">
      <alignment horizontal="center"/>
    </xf>
    <xf numFmtId="0" fontId="16" fillId="7" borderId="90" xfId="0" applyFont="1" applyFill="1" applyBorder="1" applyAlignment="1">
      <alignment/>
    </xf>
    <xf numFmtId="9" fontId="6" fillId="7" borderId="126" xfId="63" applyNumberFormat="1" applyFont="1" applyFill="1" applyBorder="1" applyAlignment="1">
      <alignment horizontal="center"/>
    </xf>
    <xf numFmtId="9" fontId="6" fillId="7" borderId="93" xfId="63" applyNumberFormat="1" applyFont="1" applyFill="1" applyBorder="1" applyAlignment="1">
      <alignment horizontal="center"/>
    </xf>
    <xf numFmtId="9" fontId="6" fillId="7" borderId="112" xfId="63" applyNumberFormat="1" applyFont="1" applyFill="1" applyBorder="1" applyAlignment="1">
      <alignment horizontal="center"/>
    </xf>
    <xf numFmtId="9" fontId="6" fillId="7" borderId="90" xfId="63" applyNumberFormat="1" applyFont="1" applyFill="1" applyBorder="1" applyAlignment="1">
      <alignment horizontal="center"/>
    </xf>
    <xf numFmtId="9" fontId="6" fillId="7" borderId="111" xfId="63" applyNumberFormat="1" applyFont="1" applyFill="1" applyBorder="1" applyAlignment="1">
      <alignment horizontal="center"/>
    </xf>
    <xf numFmtId="9" fontId="6" fillId="28" borderId="127" xfId="63" applyNumberFormat="1" applyFont="1" applyFill="1" applyBorder="1" applyAlignment="1">
      <alignment horizontal="center"/>
    </xf>
    <xf numFmtId="9" fontId="6" fillId="7" borderId="113" xfId="63" applyNumberFormat="1" applyFont="1" applyFill="1" applyBorder="1" applyAlignment="1">
      <alignment horizontal="center"/>
    </xf>
    <xf numFmtId="0" fontId="16" fillId="28" borderId="114" xfId="0" applyFont="1" applyFill="1" applyBorder="1" applyAlignment="1">
      <alignment/>
    </xf>
    <xf numFmtId="9" fontId="6" fillId="28" borderId="128" xfId="63" applyNumberFormat="1" applyFont="1" applyFill="1" applyBorder="1" applyAlignment="1">
      <alignment horizontal="center"/>
    </xf>
    <xf numFmtId="9" fontId="6" fillId="28" borderId="116" xfId="63" applyNumberFormat="1" applyFont="1" applyFill="1" applyBorder="1" applyAlignment="1">
      <alignment horizontal="center"/>
    </xf>
    <xf numFmtId="9" fontId="6" fillId="28" borderId="120" xfId="63" applyNumberFormat="1" applyFont="1" applyFill="1" applyBorder="1" applyAlignment="1">
      <alignment horizontal="center"/>
    </xf>
    <xf numFmtId="9" fontId="6" fillId="28" borderId="114" xfId="63" applyNumberFormat="1" applyFont="1" applyFill="1" applyBorder="1" applyAlignment="1">
      <alignment horizontal="center"/>
    </xf>
    <xf numFmtId="9" fontId="6" fillId="28" borderId="119" xfId="63" applyNumberFormat="1" applyFont="1" applyFill="1" applyBorder="1" applyAlignment="1">
      <alignment horizontal="center"/>
    </xf>
    <xf numFmtId="9" fontId="6" fillId="28" borderId="28" xfId="63" applyNumberFormat="1" applyFont="1" applyFill="1" applyBorder="1" applyAlignment="1">
      <alignment horizontal="center"/>
    </xf>
    <xf numFmtId="9" fontId="6" fillId="28" borderId="121" xfId="63" applyNumberFormat="1" applyFont="1" applyFill="1" applyBorder="1" applyAlignment="1">
      <alignment horizontal="center"/>
    </xf>
    <xf numFmtId="0" fontId="16" fillId="7" borderId="114" xfId="0" applyFont="1" applyFill="1" applyBorder="1" applyAlignment="1">
      <alignment/>
    </xf>
    <xf numFmtId="9" fontId="6" fillId="7" borderId="128" xfId="63" applyNumberFormat="1" applyFont="1" applyFill="1" applyBorder="1" applyAlignment="1">
      <alignment horizontal="center"/>
    </xf>
    <xf numFmtId="9" fontId="6" fillId="7" borderId="116" xfId="63" applyFont="1" applyFill="1" applyBorder="1" applyAlignment="1">
      <alignment horizontal="center"/>
    </xf>
    <xf numFmtId="9" fontId="6" fillId="7" borderId="120" xfId="63" applyFont="1" applyFill="1" applyBorder="1" applyAlignment="1">
      <alignment horizontal="center"/>
    </xf>
    <xf numFmtId="9" fontId="6" fillId="7" borderId="114" xfId="63" applyNumberFormat="1" applyFont="1" applyFill="1" applyBorder="1" applyAlignment="1">
      <alignment horizontal="center"/>
    </xf>
    <xf numFmtId="9" fontId="6" fillId="7" borderId="119" xfId="63" applyFont="1" applyFill="1" applyBorder="1" applyAlignment="1">
      <alignment horizontal="center"/>
    </xf>
    <xf numFmtId="9" fontId="6" fillId="7" borderId="116" xfId="63" applyNumberFormat="1" applyFont="1" applyFill="1" applyBorder="1" applyAlignment="1">
      <alignment horizontal="center"/>
    </xf>
    <xf numFmtId="9" fontId="6" fillId="28" borderId="28" xfId="63" applyFont="1" applyFill="1" applyBorder="1" applyAlignment="1">
      <alignment horizontal="center"/>
    </xf>
    <xf numFmtId="9" fontId="6" fillId="7" borderId="121" xfId="63" applyFont="1" applyFill="1" applyBorder="1" applyAlignment="1">
      <alignment horizontal="center"/>
    </xf>
    <xf numFmtId="0" fontId="16" fillId="28" borderId="99" xfId="0" applyFont="1" applyFill="1" applyBorder="1" applyAlignment="1">
      <alignment/>
    </xf>
    <xf numFmtId="9" fontId="6" fillId="28" borderId="100" xfId="63" applyFont="1" applyFill="1" applyBorder="1" applyAlignment="1">
      <alignment horizontal="center"/>
    </xf>
    <xf numFmtId="9" fontId="6" fillId="28" borderId="101" xfId="63" applyFont="1" applyFill="1" applyBorder="1" applyAlignment="1">
      <alignment horizontal="center"/>
    </xf>
    <xf numFmtId="9" fontId="6" fillId="28" borderId="124" xfId="63" applyFont="1" applyFill="1" applyBorder="1" applyAlignment="1">
      <alignment horizontal="center"/>
    </xf>
    <xf numFmtId="9" fontId="6" fillId="28" borderId="99" xfId="63" applyFont="1" applyFill="1" applyBorder="1" applyAlignment="1">
      <alignment horizontal="center"/>
    </xf>
    <xf numFmtId="9" fontId="6" fillId="28" borderId="123" xfId="63" applyFont="1" applyFill="1" applyBorder="1" applyAlignment="1">
      <alignment horizontal="center"/>
    </xf>
    <xf numFmtId="9" fontId="6" fillId="28" borderId="124" xfId="63" applyNumberFormat="1" applyFont="1" applyFill="1" applyBorder="1" applyAlignment="1">
      <alignment horizontal="center"/>
    </xf>
    <xf numFmtId="9" fontId="6" fillId="28" borderId="102" xfId="6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0" fillId="0" borderId="0" xfId="63" applyNumberFormat="1" applyFont="1" applyAlignment="1">
      <alignment/>
    </xf>
    <xf numFmtId="213" fontId="0" fillId="0" borderId="0" xfId="0" applyNumberFormat="1" applyAlignment="1">
      <alignment/>
    </xf>
    <xf numFmtId="198" fontId="6" fillId="0" borderId="105" xfId="60" applyNumberFormat="1" applyFont="1" applyFill="1" applyBorder="1" applyAlignment="1">
      <alignment vertical="center"/>
    </xf>
    <xf numFmtId="198" fontId="6" fillId="0" borderId="70" xfId="60" applyNumberFormat="1" applyFont="1" applyFill="1" applyBorder="1" applyAlignment="1">
      <alignment vertical="center"/>
    </xf>
    <xf numFmtId="9" fontId="6" fillId="0" borderId="11" xfId="60" applyFont="1" applyFill="1" applyBorder="1" applyAlignment="1">
      <alignment vertical="center"/>
    </xf>
    <xf numFmtId="198" fontId="6" fillId="0" borderId="72" xfId="60" applyNumberFormat="1" applyFont="1" applyFill="1" applyBorder="1" applyAlignment="1">
      <alignment vertical="center"/>
    </xf>
    <xf numFmtId="198" fontId="6" fillId="0" borderId="38" xfId="65" applyNumberFormat="1" applyFont="1" applyFill="1" applyBorder="1" applyAlignment="1">
      <alignment horizontal="center" vertical="center"/>
    </xf>
    <xf numFmtId="198" fontId="6" fillId="0" borderId="74" xfId="6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29" borderId="48" xfId="0" applyFont="1" applyFill="1" applyBorder="1" applyAlignment="1">
      <alignment/>
    </xf>
    <xf numFmtId="0" fontId="4" fillId="29" borderId="42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horizontal="center" vertical="center"/>
    </xf>
    <xf numFmtId="0" fontId="0" fillId="28" borderId="45" xfId="0" applyFill="1" applyBorder="1" applyAlignment="1">
      <alignment horizontal="center" vertical="center"/>
    </xf>
    <xf numFmtId="202" fontId="0" fillId="28" borderId="42" xfId="0" applyNumberFormat="1" applyFill="1" applyBorder="1" applyAlignment="1">
      <alignment vertical="center"/>
    </xf>
    <xf numFmtId="202" fontId="0" fillId="28" borderId="27" xfId="0" applyNumberFormat="1" applyFill="1" applyBorder="1" applyAlignment="1">
      <alignment vertical="center"/>
    </xf>
    <xf numFmtId="202" fontId="0" fillId="28" borderId="45" xfId="0" applyNumberFormat="1" applyFill="1" applyBorder="1" applyAlignment="1">
      <alignment vertical="center"/>
    </xf>
    <xf numFmtId="0" fontId="0" fillId="29" borderId="45" xfId="0" applyFill="1" applyBorder="1" applyAlignment="1">
      <alignment horizontal="center" vertical="center"/>
    </xf>
    <xf numFmtId="202" fontId="0" fillId="29" borderId="42" xfId="0" applyNumberFormat="1" applyFill="1" applyBorder="1" applyAlignment="1">
      <alignment vertical="center"/>
    </xf>
    <xf numFmtId="202" fontId="0" fillId="29" borderId="27" xfId="0" applyNumberFormat="1" applyFill="1" applyBorder="1" applyAlignment="1">
      <alignment vertical="center"/>
    </xf>
    <xf numFmtId="202" fontId="0" fillId="29" borderId="45" xfId="0" applyNumberFormat="1" applyFill="1" applyBorder="1" applyAlignment="1">
      <alignment vertical="center"/>
    </xf>
    <xf numFmtId="204" fontId="0" fillId="0" borderId="0" xfId="0" applyNumberFormat="1" applyAlignment="1">
      <alignment/>
    </xf>
    <xf numFmtId="0" fontId="0" fillId="29" borderId="45" xfId="0" applyNumberFormat="1" applyFill="1" applyBorder="1" applyAlignment="1">
      <alignment horizontal="center" vertical="center"/>
    </xf>
    <xf numFmtId="0" fontId="0" fillId="28" borderId="45" xfId="0" applyNumberFormat="1" applyFill="1" applyBorder="1" applyAlignment="1">
      <alignment horizontal="center" vertical="center"/>
    </xf>
    <xf numFmtId="214" fontId="0" fillId="0" borderId="0" xfId="52" applyNumberFormat="1" applyFont="1" applyAlignment="1">
      <alignment/>
    </xf>
    <xf numFmtId="214" fontId="0" fillId="0" borderId="0" xfId="52" applyNumberFormat="1" applyFont="1" applyAlignment="1">
      <alignment/>
    </xf>
    <xf numFmtId="215" fontId="0" fillId="0" borderId="0" xfId="0" applyNumberFormat="1" applyAlignment="1">
      <alignment/>
    </xf>
    <xf numFmtId="0" fontId="16" fillId="29" borderId="90" xfId="0" applyFont="1" applyFill="1" applyBorder="1" applyAlignment="1">
      <alignment vertical="center"/>
    </xf>
    <xf numFmtId="9" fontId="6" fillId="29" borderId="126" xfId="63" applyNumberFormat="1" applyFont="1" applyFill="1" applyBorder="1" applyAlignment="1">
      <alignment vertical="center"/>
    </xf>
    <xf numFmtId="9" fontId="6" fillId="29" borderId="112" xfId="63" applyNumberFormat="1" applyFont="1" applyFill="1" applyBorder="1" applyAlignment="1">
      <alignment vertical="center"/>
    </xf>
    <xf numFmtId="9" fontId="6" fillId="29" borderId="90" xfId="63" applyNumberFormat="1" applyFont="1" applyFill="1" applyBorder="1" applyAlignment="1">
      <alignment vertical="center"/>
    </xf>
    <xf numFmtId="0" fontId="16" fillId="28" borderId="114" xfId="0" applyFont="1" applyFill="1" applyBorder="1" applyAlignment="1">
      <alignment vertical="center"/>
    </xf>
    <xf numFmtId="9" fontId="6" fillId="28" borderId="128" xfId="63" applyNumberFormat="1" applyFont="1" applyFill="1" applyBorder="1" applyAlignment="1">
      <alignment vertical="center"/>
    </xf>
    <xf numFmtId="9" fontId="6" fillId="28" borderId="120" xfId="63" applyNumberFormat="1" applyFont="1" applyFill="1" applyBorder="1" applyAlignment="1">
      <alignment vertical="center"/>
    </xf>
    <xf numFmtId="9" fontId="6" fillId="28" borderId="114" xfId="63" applyNumberFormat="1" applyFont="1" applyFill="1" applyBorder="1" applyAlignment="1">
      <alignment vertical="center"/>
    </xf>
    <xf numFmtId="0" fontId="16" fillId="29" borderId="114" xfId="0" applyFont="1" applyFill="1" applyBorder="1" applyAlignment="1">
      <alignment vertical="center"/>
    </xf>
    <xf numFmtId="9" fontId="6" fillId="29" borderId="128" xfId="63" applyNumberFormat="1" applyFont="1" applyFill="1" applyBorder="1" applyAlignment="1">
      <alignment vertical="center"/>
    </xf>
    <xf numFmtId="9" fontId="6" fillId="29" borderId="120" xfId="63" applyNumberFormat="1" applyFont="1" applyFill="1" applyBorder="1" applyAlignment="1">
      <alignment vertical="center"/>
    </xf>
    <xf numFmtId="9" fontId="6" fillId="29" borderId="114" xfId="63" applyNumberFormat="1" applyFont="1" applyFill="1" applyBorder="1" applyAlignment="1">
      <alignment vertical="center"/>
    </xf>
    <xf numFmtId="0" fontId="16" fillId="28" borderId="66" xfId="0" applyFont="1" applyFill="1" applyBorder="1" applyAlignment="1">
      <alignment vertical="center"/>
    </xf>
    <xf numFmtId="9" fontId="6" fillId="28" borderId="15" xfId="63" applyNumberFormat="1" applyFont="1" applyFill="1" applyBorder="1" applyAlignment="1">
      <alignment vertical="center"/>
    </xf>
    <xf numFmtId="9" fontId="6" fillId="28" borderId="76" xfId="63" applyNumberFormat="1" applyFont="1" applyFill="1" applyBorder="1" applyAlignment="1">
      <alignment vertical="center"/>
    </xf>
    <xf numFmtId="9" fontId="6" fillId="28" borderId="66" xfId="63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0" fillId="0" borderId="0" xfId="57" applyFont="1">
      <alignment/>
      <protection/>
    </xf>
    <xf numFmtId="0" fontId="29" fillId="0" borderId="0" xfId="57" applyFont="1">
      <alignment/>
      <protection/>
    </xf>
    <xf numFmtId="0" fontId="30" fillId="27" borderId="16" xfId="57" applyFont="1" applyFill="1" applyBorder="1" applyAlignment="1">
      <alignment horizontal="center" vertical="center"/>
      <protection/>
    </xf>
    <xf numFmtId="0" fontId="5" fillId="27" borderId="16" xfId="57" applyFont="1" applyFill="1" applyBorder="1" applyAlignment="1">
      <alignment horizontal="center" vertical="center"/>
      <protection/>
    </xf>
    <xf numFmtId="0" fontId="5" fillId="27" borderId="18" xfId="57" applyFont="1" applyFill="1" applyBorder="1" applyAlignment="1">
      <alignment horizontal="center" vertical="center"/>
      <protection/>
    </xf>
    <xf numFmtId="0" fontId="0" fillId="0" borderId="42" xfId="57" applyFill="1" applyBorder="1" applyAlignment="1">
      <alignment horizontal="center"/>
      <protection/>
    </xf>
    <xf numFmtId="3" fontId="0" fillId="0" borderId="129" xfId="57" applyNumberFormat="1" applyFont="1" applyFill="1" applyBorder="1" applyAlignment="1">
      <alignment horizontal="center"/>
      <protection/>
    </xf>
    <xf numFmtId="3" fontId="0" fillId="0" borderId="129" xfId="57" applyNumberFormat="1" applyFill="1" applyBorder="1">
      <alignment/>
      <protection/>
    </xf>
    <xf numFmtId="3" fontId="0" fillId="0" borderId="47" xfId="57" applyNumberFormat="1" applyFill="1" applyBorder="1">
      <alignment/>
      <protection/>
    </xf>
    <xf numFmtId="3" fontId="0" fillId="0" borderId="130" xfId="57" applyNumberFormat="1" applyFont="1" applyFill="1" applyBorder="1" applyAlignment="1">
      <alignment horizontal="center"/>
      <protection/>
    </xf>
    <xf numFmtId="3" fontId="0" fillId="0" borderId="130" xfId="57" applyNumberFormat="1" applyFill="1" applyBorder="1">
      <alignment/>
      <protection/>
    </xf>
    <xf numFmtId="3" fontId="0" fillId="0" borderId="130" xfId="57" applyNumberFormat="1" applyFill="1" applyBorder="1" applyAlignment="1">
      <alignment horizontal="right"/>
      <protection/>
    </xf>
    <xf numFmtId="0" fontId="0" fillId="0" borderId="42" xfId="57" applyFont="1" applyFill="1" applyBorder="1" applyAlignment="1">
      <alignment horizontal="center"/>
      <protection/>
    </xf>
    <xf numFmtId="3" fontId="0" fillId="0" borderId="130" xfId="57" applyNumberFormat="1" applyFont="1" applyFill="1" applyBorder="1">
      <alignment/>
      <protection/>
    </xf>
    <xf numFmtId="3" fontId="0" fillId="0" borderId="47" xfId="57" applyNumberFormat="1" applyFont="1" applyFill="1" applyBorder="1">
      <alignment/>
      <protection/>
    </xf>
    <xf numFmtId="0" fontId="4" fillId="0" borderId="15" xfId="57" applyFont="1" applyFill="1" applyBorder="1" applyAlignment="1">
      <alignment horizontal="center"/>
      <protection/>
    </xf>
    <xf numFmtId="3" fontId="4" fillId="0" borderId="131" xfId="57" applyNumberFormat="1" applyFont="1" applyFill="1" applyBorder="1" applyAlignment="1">
      <alignment horizontal="center"/>
      <protection/>
    </xf>
    <xf numFmtId="3" fontId="4" fillId="0" borderId="131" xfId="57" applyNumberFormat="1" applyFont="1" applyFill="1" applyBorder="1">
      <alignment/>
      <protection/>
    </xf>
    <xf numFmtId="3" fontId="4" fillId="0" borderId="109" xfId="57" applyNumberFormat="1" applyFont="1" applyFill="1" applyBorder="1">
      <alignment/>
      <protection/>
    </xf>
    <xf numFmtId="0" fontId="9" fillId="0" borderId="0" xfId="57" applyFont="1">
      <alignment/>
      <protection/>
    </xf>
    <xf numFmtId="0" fontId="2" fillId="27" borderId="48" xfId="57" applyFont="1" applyFill="1" applyBorder="1" applyAlignment="1">
      <alignment horizontal="center" vertical="center"/>
      <protection/>
    </xf>
    <xf numFmtId="0" fontId="0" fillId="0" borderId="132" xfId="57" applyFill="1" applyBorder="1">
      <alignment/>
      <protection/>
    </xf>
    <xf numFmtId="0" fontId="0" fillId="0" borderId="47" xfId="57" applyFill="1" applyBorder="1">
      <alignment/>
      <protection/>
    </xf>
    <xf numFmtId="0" fontId="0" fillId="0" borderId="0" xfId="57" applyFill="1" applyBorder="1">
      <alignment/>
      <protection/>
    </xf>
    <xf numFmtId="3" fontId="0" fillId="0" borderId="132" xfId="57" applyNumberFormat="1" applyFont="1" applyFill="1" applyBorder="1" applyAlignment="1">
      <alignment horizontal="right" vertical="center"/>
      <protection/>
    </xf>
    <xf numFmtId="0" fontId="2" fillId="0" borderId="51" xfId="57" applyFont="1" applyFill="1" applyBorder="1" applyAlignment="1">
      <alignment horizontal="center" vertical="center"/>
      <protection/>
    </xf>
    <xf numFmtId="202" fontId="0" fillId="0" borderId="132" xfId="57" applyNumberFormat="1" applyFont="1" applyFill="1" applyBorder="1" applyAlignment="1">
      <alignment horizontal="right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202" fontId="0" fillId="0" borderId="0" xfId="57" applyNumberFormat="1" applyFill="1" applyBorder="1" applyAlignment="1">
      <alignment horizontal="center"/>
      <protection/>
    </xf>
    <xf numFmtId="202" fontId="31" fillId="0" borderId="0" xfId="57" applyNumberFormat="1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202" fontId="32" fillId="0" borderId="0" xfId="57" applyNumberFormat="1" applyFont="1" applyFill="1" applyBorder="1" applyAlignment="1">
      <alignment horizontal="center"/>
      <protection/>
    </xf>
    <xf numFmtId="0" fontId="16" fillId="0" borderId="128" xfId="57" applyFont="1" applyFill="1" applyBorder="1">
      <alignment/>
      <protection/>
    </xf>
    <xf numFmtId="198" fontId="4" fillId="0" borderId="118" xfId="62" applyNumberFormat="1" applyFont="1" applyFill="1" applyBorder="1" applyAlignment="1">
      <alignment/>
    </xf>
    <xf numFmtId="0" fontId="16" fillId="0" borderId="100" xfId="57" applyFont="1" applyFill="1" applyBorder="1">
      <alignment/>
      <protection/>
    </xf>
    <xf numFmtId="198" fontId="4" fillId="0" borderId="122" xfId="62" applyNumberFormat="1" applyFont="1" applyFill="1" applyBorder="1" applyAlignment="1">
      <alignment/>
    </xf>
    <xf numFmtId="0" fontId="0" fillId="0" borderId="102" xfId="57" applyFill="1" applyBorder="1">
      <alignment/>
      <protection/>
    </xf>
    <xf numFmtId="0" fontId="33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Fill="1" applyBorder="1">
      <alignment/>
      <protection/>
    </xf>
    <xf numFmtId="0" fontId="0" fillId="0" borderId="121" xfId="57" applyFill="1" applyBorder="1">
      <alignment/>
      <protection/>
    </xf>
    <xf numFmtId="0" fontId="0" fillId="0" borderId="133" xfId="57" applyFill="1" applyBorder="1">
      <alignment/>
      <protection/>
    </xf>
    <xf numFmtId="0" fontId="16" fillId="0" borderId="134" xfId="57" applyFont="1" applyFill="1" applyBorder="1">
      <alignment/>
      <protection/>
    </xf>
    <xf numFmtId="198" fontId="4" fillId="0" borderId="135" xfId="62" applyNumberFormat="1" applyFont="1" applyFill="1" applyBorder="1" applyAlignment="1">
      <alignment/>
    </xf>
    <xf numFmtId="0" fontId="0" fillId="0" borderId="136" xfId="57" applyFont="1" applyFill="1" applyBorder="1">
      <alignment/>
      <protection/>
    </xf>
    <xf numFmtId="0" fontId="34" fillId="27" borderId="42" xfId="0" applyFont="1" applyFill="1" applyBorder="1" applyAlignment="1">
      <alignment horizontal="center"/>
    </xf>
    <xf numFmtId="202" fontId="30" fillId="27" borderId="55" xfId="0" applyNumberFormat="1" applyFont="1" applyFill="1" applyBorder="1" applyAlignment="1">
      <alignment horizontal="center"/>
    </xf>
    <xf numFmtId="3" fontId="30" fillId="27" borderId="125" xfId="0" applyNumberFormat="1" applyFont="1" applyFill="1" applyBorder="1" applyAlignment="1">
      <alignment horizontal="center"/>
    </xf>
    <xf numFmtId="3" fontId="30" fillId="27" borderId="98" xfId="0" applyNumberFormat="1" applyFont="1" applyFill="1" applyBorder="1" applyAlignment="1">
      <alignment horizontal="center"/>
    </xf>
    <xf numFmtId="3" fontId="30" fillId="27" borderId="56" xfId="0" applyNumberFormat="1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34" fillId="0" borderId="49" xfId="0" applyNumberFormat="1" applyFont="1" applyFill="1" applyBorder="1" applyAlignment="1">
      <alignment horizontal="center"/>
    </xf>
    <xf numFmtId="3" fontId="34" fillId="0" borderId="127" xfId="0" applyNumberFormat="1" applyFont="1" applyFill="1" applyBorder="1" applyAlignment="1">
      <alignment horizontal="center"/>
    </xf>
    <xf numFmtId="3" fontId="34" fillId="0" borderId="137" xfId="0" applyNumberFormat="1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34" fillId="0" borderId="51" xfId="0" applyNumberFormat="1" applyFont="1" applyFill="1" applyBorder="1" applyAlignment="1">
      <alignment horizontal="center"/>
    </xf>
    <xf numFmtId="3" fontId="34" fillId="0" borderId="28" xfId="0" applyNumberFormat="1" applyFont="1" applyFill="1" applyBorder="1" applyAlignment="1">
      <alignment horizontal="center"/>
    </xf>
    <xf numFmtId="3" fontId="34" fillId="0" borderId="46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34" fillId="0" borderId="54" xfId="0" applyNumberFormat="1" applyFont="1" applyFill="1" applyBorder="1" applyAlignment="1">
      <alignment horizontal="center"/>
    </xf>
    <xf numFmtId="3" fontId="34" fillId="0" borderId="29" xfId="0" applyNumberFormat="1" applyFont="1" applyFill="1" applyBorder="1" applyAlignment="1">
      <alignment horizontal="center"/>
    </xf>
    <xf numFmtId="3" fontId="34" fillId="0" borderId="77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vertical="center"/>
    </xf>
    <xf numFmtId="198" fontId="1" fillId="0" borderId="34" xfId="65" applyNumberFormat="1" applyFont="1" applyFill="1" applyBorder="1" applyAlignment="1">
      <alignment horizontal="center"/>
    </xf>
    <xf numFmtId="198" fontId="1" fillId="0" borderId="30" xfId="65" applyNumberFormat="1" applyFont="1" applyFill="1" applyBorder="1" applyAlignment="1">
      <alignment horizontal="center"/>
    </xf>
    <xf numFmtId="198" fontId="1" fillId="0" borderId="24" xfId="65" applyNumberFormat="1" applyFont="1" applyFill="1" applyBorder="1" applyAlignment="1">
      <alignment horizontal="center"/>
    </xf>
    <xf numFmtId="9" fontId="1" fillId="0" borderId="67" xfId="65" applyNumberFormat="1" applyFont="1" applyFill="1" applyBorder="1" applyAlignment="1">
      <alignment horizontal="center"/>
    </xf>
    <xf numFmtId="198" fontId="1" fillId="0" borderId="127" xfId="65" applyNumberFormat="1" applyFont="1" applyFill="1" applyBorder="1" applyAlignment="1">
      <alignment horizontal="center"/>
    </xf>
    <xf numFmtId="9" fontId="1" fillId="0" borderId="137" xfId="65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/>
    </xf>
    <xf numFmtId="9" fontId="1" fillId="0" borderId="31" xfId="65" applyNumberFormat="1" applyFont="1" applyFill="1" applyBorder="1" applyAlignment="1">
      <alignment horizontal="center"/>
    </xf>
    <xf numFmtId="9" fontId="1" fillId="0" borderId="32" xfId="65" applyNumberFormat="1" applyFont="1" applyFill="1" applyBorder="1" applyAlignment="1">
      <alignment horizontal="center"/>
    </xf>
    <xf numFmtId="198" fontId="1" fillId="0" borderId="32" xfId="65" applyNumberFormat="1" applyFont="1" applyFill="1" applyBorder="1" applyAlignment="1">
      <alignment horizontal="center"/>
    </xf>
    <xf numFmtId="9" fontId="1" fillId="0" borderId="28" xfId="65" applyNumberFormat="1" applyFont="1" applyFill="1" applyBorder="1" applyAlignment="1">
      <alignment horizontal="center"/>
    </xf>
    <xf numFmtId="9" fontId="1" fillId="0" borderId="56" xfId="65" applyNumberFormat="1" applyFont="1" applyFill="1" applyBorder="1" applyAlignment="1">
      <alignment horizontal="center"/>
    </xf>
    <xf numFmtId="9" fontId="1" fillId="0" borderId="38" xfId="65" applyNumberFormat="1" applyFont="1" applyFill="1" applyBorder="1" applyAlignment="1">
      <alignment horizontal="center"/>
    </xf>
    <xf numFmtId="9" fontId="1" fillId="0" borderId="31" xfId="65" applyFont="1" applyFill="1" applyBorder="1" applyAlignment="1">
      <alignment horizontal="center"/>
    </xf>
    <xf numFmtId="9" fontId="1" fillId="0" borderId="32" xfId="65" applyFont="1" applyFill="1" applyBorder="1" applyAlignment="1">
      <alignment horizontal="center"/>
    </xf>
    <xf numFmtId="9" fontId="1" fillId="0" borderId="70" xfId="65" applyFont="1" applyFill="1" applyBorder="1" applyAlignment="1">
      <alignment horizontal="center"/>
    </xf>
    <xf numFmtId="9" fontId="1" fillId="0" borderId="10" xfId="65" applyFont="1" applyFill="1" applyBorder="1" applyAlignment="1">
      <alignment horizontal="center"/>
    </xf>
    <xf numFmtId="9" fontId="1" fillId="0" borderId="26" xfId="65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9" fontId="1" fillId="0" borderId="33" xfId="65" applyFont="1" applyFill="1" applyBorder="1" applyAlignment="1">
      <alignment horizontal="center"/>
    </xf>
    <xf numFmtId="0" fontId="34" fillId="0" borderId="107" xfId="0" applyFont="1" applyBorder="1" applyAlignment="1">
      <alignment/>
    </xf>
    <xf numFmtId="9" fontId="1" fillId="0" borderId="54" xfId="65" applyFont="1" applyFill="1" applyBorder="1" applyAlignment="1">
      <alignment horizontal="center"/>
    </xf>
    <xf numFmtId="9" fontId="1" fillId="0" borderId="72" xfId="65" applyFont="1" applyFill="1" applyBorder="1" applyAlignment="1">
      <alignment horizontal="center"/>
    </xf>
    <xf numFmtId="9" fontId="1" fillId="0" borderId="68" xfId="65" applyFont="1" applyFill="1" applyBorder="1" applyAlignment="1">
      <alignment horizontal="center"/>
    </xf>
    <xf numFmtId="9" fontId="1" fillId="0" borderId="109" xfId="65" applyFont="1" applyFill="1" applyBorder="1" applyAlignment="1">
      <alignment horizontal="center"/>
    </xf>
    <xf numFmtId="0" fontId="34" fillId="0" borderId="0" xfId="0" applyFont="1" applyAlignment="1">
      <alignment/>
    </xf>
    <xf numFmtId="199" fontId="34" fillId="0" borderId="0" xfId="65" applyNumberFormat="1" applyFont="1" applyBorder="1" applyAlignment="1">
      <alignment/>
    </xf>
    <xf numFmtId="199" fontId="34" fillId="0" borderId="0" xfId="65" applyNumberFormat="1" applyFont="1" applyAlignment="1">
      <alignment/>
    </xf>
    <xf numFmtId="0" fontId="35" fillId="0" borderId="0" xfId="0" applyFont="1" applyAlignment="1">
      <alignment/>
    </xf>
    <xf numFmtId="0" fontId="0" fillId="0" borderId="0" xfId="57" quotePrefix="1">
      <alignment/>
      <protection/>
    </xf>
    <xf numFmtId="198" fontId="6" fillId="7" borderId="96" xfId="62" applyNumberFormat="1" applyFont="1" applyFill="1" applyBorder="1" applyAlignment="1">
      <alignment horizontal="center"/>
    </xf>
    <xf numFmtId="10" fontId="6" fillId="7" borderId="95" xfId="62" applyNumberFormat="1" applyFont="1" applyFill="1" applyBorder="1" applyAlignment="1">
      <alignment horizontal="center"/>
    </xf>
    <xf numFmtId="198" fontId="6" fillId="7" borderId="97" xfId="62" applyNumberFormat="1" applyFont="1" applyFill="1" applyBorder="1" applyAlignment="1">
      <alignment horizontal="center"/>
    </xf>
    <xf numFmtId="202" fontId="0" fillId="7" borderId="47" xfId="57" applyNumberFormat="1" applyFill="1" applyBorder="1">
      <alignment/>
      <protection/>
    </xf>
    <xf numFmtId="211" fontId="0" fillId="7" borderId="66" xfId="57" applyNumberFormat="1" applyFill="1" applyBorder="1" applyAlignment="1">
      <alignment horizontal="center"/>
      <protection/>
    </xf>
    <xf numFmtId="202" fontId="4" fillId="7" borderId="78" xfId="57" applyNumberFormat="1" applyFont="1" applyFill="1" applyBorder="1">
      <alignment/>
      <protection/>
    </xf>
    <xf numFmtId="202" fontId="0" fillId="7" borderId="78" xfId="57" applyNumberFormat="1" applyFill="1" applyBorder="1">
      <alignment/>
      <protection/>
    </xf>
    <xf numFmtId="202" fontId="0" fillId="7" borderId="76" xfId="57" applyNumberFormat="1" applyFill="1" applyBorder="1">
      <alignment/>
      <protection/>
    </xf>
    <xf numFmtId="201" fontId="0" fillId="7" borderId="29" xfId="57" applyNumberFormat="1" applyFill="1" applyBorder="1">
      <alignment/>
      <protection/>
    </xf>
    <xf numFmtId="202" fontId="0" fillId="7" borderId="29" xfId="57" applyNumberFormat="1" applyFill="1" applyBorder="1">
      <alignment/>
      <protection/>
    </xf>
    <xf numFmtId="202" fontId="0" fillId="7" borderId="109" xfId="57" applyNumberFormat="1" applyFill="1" applyBorder="1">
      <alignment/>
      <protection/>
    </xf>
    <xf numFmtId="212" fontId="4" fillId="7" borderId="78" xfId="57" applyNumberFormat="1" applyFont="1" applyFill="1" applyBorder="1">
      <alignment/>
      <protection/>
    </xf>
    <xf numFmtId="212" fontId="0" fillId="7" borderId="78" xfId="57" applyNumberFormat="1" applyFill="1" applyBorder="1">
      <alignment/>
      <protection/>
    </xf>
    <xf numFmtId="212" fontId="0" fillId="7" borderId="76" xfId="57" applyNumberFormat="1" applyFill="1" applyBorder="1">
      <alignment/>
      <protection/>
    </xf>
    <xf numFmtId="212" fontId="0" fillId="7" borderId="29" xfId="57" applyNumberFormat="1" applyFill="1" applyBorder="1">
      <alignment/>
      <protection/>
    </xf>
    <xf numFmtId="212" fontId="0" fillId="7" borderId="77" xfId="57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98" fontId="6" fillId="0" borderId="138" xfId="60" applyNumberFormat="1" applyFont="1" applyFill="1" applyBorder="1" applyAlignment="1">
      <alignment horizontal="center" vertical="center"/>
    </xf>
    <xf numFmtId="3" fontId="0" fillId="0" borderId="81" xfId="0" applyNumberForma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198" fontId="6" fillId="28" borderId="104" xfId="62" applyNumberFormat="1" applyFont="1" applyFill="1" applyBorder="1" applyAlignment="1">
      <alignment horizontal="center"/>
    </xf>
    <xf numFmtId="198" fontId="6" fillId="28" borderId="101" xfId="62" applyNumberFormat="1" applyFont="1" applyFill="1" applyBorder="1" applyAlignment="1">
      <alignment horizontal="center"/>
    </xf>
    <xf numFmtId="198" fontId="6" fillId="28" borderId="103" xfId="62" applyNumberFormat="1" applyFont="1" applyFill="1" applyBorder="1" applyAlignment="1">
      <alignment horizontal="center"/>
    </xf>
    <xf numFmtId="198" fontId="6" fillId="29" borderId="91" xfId="62" applyNumberFormat="1" applyFont="1" applyFill="1" applyBorder="1" applyAlignment="1">
      <alignment horizontal="center"/>
    </xf>
    <xf numFmtId="198" fontId="6" fillId="0" borderId="107" xfId="60" applyNumberFormat="1" applyFont="1" applyFill="1" applyBorder="1" applyAlignment="1">
      <alignment vertical="center"/>
    </xf>
    <xf numFmtId="198" fontId="6" fillId="0" borderId="139" xfId="60" applyNumberFormat="1" applyFont="1" applyFill="1" applyBorder="1" applyAlignment="1">
      <alignment vertical="center"/>
    </xf>
    <xf numFmtId="198" fontId="6" fillId="0" borderId="33" xfId="60" applyNumberFormat="1" applyFont="1" applyFill="1" applyBorder="1" applyAlignment="1">
      <alignment vertical="center"/>
    </xf>
    <xf numFmtId="198" fontId="6" fillId="0" borderId="74" xfId="60" applyNumberFormat="1" applyFont="1" applyFill="1" applyBorder="1" applyAlignment="1">
      <alignment horizontal="center" vertical="center"/>
    </xf>
    <xf numFmtId="0" fontId="0" fillId="32" borderId="0" xfId="56" applyFont="1" applyFill="1">
      <alignment/>
      <protection/>
    </xf>
    <xf numFmtId="0" fontId="4" fillId="32" borderId="0" xfId="56" applyFont="1" applyFill="1" applyBorder="1" applyAlignment="1">
      <alignment/>
      <protection/>
    </xf>
    <xf numFmtId="0" fontId="35" fillId="32" borderId="0" xfId="56" applyFont="1" applyFill="1">
      <alignment/>
      <protection/>
    </xf>
    <xf numFmtId="0" fontId="4" fillId="32" borderId="0" xfId="56" applyFont="1" applyFill="1" applyBorder="1" applyAlignment="1">
      <alignment horizontal="left"/>
      <protection/>
    </xf>
    <xf numFmtId="0" fontId="150" fillId="0" borderId="0" xfId="0" applyFont="1" applyAlignment="1">
      <alignment/>
    </xf>
    <xf numFmtId="0" fontId="4" fillId="32" borderId="0" xfId="56" applyFont="1" applyFill="1">
      <alignment/>
      <protection/>
    </xf>
    <xf numFmtId="0" fontId="146" fillId="33" borderId="56" xfId="56" applyFont="1" applyFill="1" applyBorder="1" applyAlignment="1">
      <alignment horizontal="center"/>
      <protection/>
    </xf>
    <xf numFmtId="0" fontId="147" fillId="33" borderId="56" xfId="56" applyFont="1" applyFill="1" applyBorder="1">
      <alignment/>
      <protection/>
    </xf>
    <xf numFmtId="0" fontId="4" fillId="32" borderId="0" xfId="56" applyFont="1" applyFill="1" applyBorder="1" applyAlignment="1">
      <alignment horizontal="center"/>
      <protection/>
    </xf>
    <xf numFmtId="0" fontId="146" fillId="33" borderId="28" xfId="56" applyFont="1" applyFill="1" applyBorder="1" applyAlignment="1">
      <alignment horizontal="center"/>
      <protection/>
    </xf>
    <xf numFmtId="0" fontId="147" fillId="33" borderId="28" xfId="56" applyFont="1" applyFill="1" applyBorder="1">
      <alignment/>
      <protection/>
    </xf>
    <xf numFmtId="17" fontId="0" fillId="32" borderId="10" xfId="56" applyNumberFormat="1" applyFont="1" applyFill="1" applyBorder="1" applyAlignment="1">
      <alignment horizontal="left"/>
      <protection/>
    </xf>
    <xf numFmtId="205" fontId="0" fillId="32" borderId="10" xfId="56" applyNumberFormat="1" applyFont="1" applyFill="1" applyBorder="1">
      <alignment/>
      <protection/>
    </xf>
    <xf numFmtId="204" fontId="0" fillId="32" borderId="10" xfId="56" applyNumberFormat="1" applyFont="1" applyFill="1" applyBorder="1">
      <alignment/>
      <protection/>
    </xf>
    <xf numFmtId="0" fontId="0" fillId="32" borderId="10" xfId="56" applyFont="1" applyFill="1" applyBorder="1">
      <alignment/>
      <protection/>
    </xf>
    <xf numFmtId="217" fontId="0" fillId="32" borderId="10" xfId="56" applyNumberFormat="1" applyFont="1" applyFill="1" applyBorder="1">
      <alignment/>
      <protection/>
    </xf>
    <xf numFmtId="206" fontId="0" fillId="32" borderId="10" xfId="56" applyNumberFormat="1" applyFont="1" applyFill="1" applyBorder="1">
      <alignment/>
      <protection/>
    </xf>
    <xf numFmtId="206" fontId="8" fillId="32" borderId="0" xfId="56" applyNumberFormat="1" applyFont="1" applyFill="1" applyBorder="1">
      <alignment/>
      <protection/>
    </xf>
    <xf numFmtId="205" fontId="8" fillId="32" borderId="0" xfId="56" applyNumberFormat="1" applyFont="1" applyFill="1" applyBorder="1">
      <alignment/>
      <protection/>
    </xf>
    <xf numFmtId="205" fontId="0" fillId="32" borderId="0" xfId="56" applyNumberFormat="1" applyFill="1">
      <alignment/>
      <protection/>
    </xf>
    <xf numFmtId="2" fontId="0" fillId="32" borderId="0" xfId="56" applyNumberFormat="1" applyFont="1" applyFill="1">
      <alignment/>
      <protection/>
    </xf>
    <xf numFmtId="204" fontId="0" fillId="32" borderId="0" xfId="56" applyNumberFormat="1" applyFont="1" applyFill="1">
      <alignment/>
      <protection/>
    </xf>
    <xf numFmtId="0" fontId="6" fillId="32" borderId="56" xfId="56" applyFont="1" applyFill="1" applyBorder="1" applyAlignment="1">
      <alignment horizontal="center"/>
      <protection/>
    </xf>
    <xf numFmtId="0" fontId="6" fillId="32" borderId="13" xfId="56" applyFont="1" applyFill="1" applyBorder="1" applyAlignment="1">
      <alignment horizontal="center"/>
      <protection/>
    </xf>
    <xf numFmtId="0" fontId="6" fillId="32" borderId="11" xfId="56" applyFont="1" applyFill="1" applyBorder="1" applyAlignment="1">
      <alignment horizontal="center"/>
      <protection/>
    </xf>
    <xf numFmtId="0" fontId="6" fillId="32" borderId="10" xfId="56" applyFont="1" applyFill="1" applyBorder="1" applyAlignment="1">
      <alignment horizontal="center"/>
      <protection/>
    </xf>
    <xf numFmtId="9" fontId="0" fillId="32" borderId="0" xfId="62" applyFont="1" applyFill="1" applyAlignment="1">
      <alignment/>
    </xf>
    <xf numFmtId="17" fontId="0" fillId="32" borderId="10" xfId="56" applyNumberFormat="1" applyFill="1" applyBorder="1" applyAlignment="1">
      <alignment horizontal="center"/>
      <protection/>
    </xf>
    <xf numFmtId="4" fontId="0" fillId="32" borderId="10" xfId="56" applyNumberFormat="1" applyFill="1" applyBorder="1" applyAlignment="1">
      <alignment horizontal="center"/>
      <protection/>
    </xf>
    <xf numFmtId="9" fontId="0" fillId="32" borderId="10" xfId="62" applyFont="1" applyFill="1" applyBorder="1" applyAlignment="1">
      <alignment horizontal="center"/>
    </xf>
    <xf numFmtId="9" fontId="0" fillId="32" borderId="10" xfId="62" applyNumberFormat="1" applyFont="1" applyFill="1" applyBorder="1" applyAlignment="1">
      <alignment horizontal="center"/>
    </xf>
    <xf numFmtId="198" fontId="0" fillId="32" borderId="10" xfId="62" applyNumberFormat="1" applyFont="1" applyFill="1" applyBorder="1" applyAlignment="1">
      <alignment horizontal="center"/>
    </xf>
    <xf numFmtId="217" fontId="8" fillId="32" borderId="0" xfId="56" applyNumberFormat="1" applyFont="1" applyFill="1" applyBorder="1">
      <alignment/>
      <protection/>
    </xf>
    <xf numFmtId="217" fontId="0" fillId="32" borderId="0" xfId="56" applyNumberFormat="1" applyFill="1">
      <alignment/>
      <protection/>
    </xf>
    <xf numFmtId="217" fontId="0" fillId="32" borderId="0" xfId="56" applyNumberFormat="1" applyFont="1" applyFill="1">
      <alignment/>
      <protection/>
    </xf>
    <xf numFmtId="17" fontId="0" fillId="32" borderId="68" xfId="56" applyNumberFormat="1" applyFont="1" applyFill="1" applyBorder="1" applyAlignment="1">
      <alignment horizontal="left"/>
      <protection/>
    </xf>
    <xf numFmtId="217" fontId="0" fillId="32" borderId="68" xfId="56" applyNumberFormat="1" applyFont="1" applyFill="1" applyBorder="1">
      <alignment/>
      <protection/>
    </xf>
    <xf numFmtId="217" fontId="8" fillId="32" borderId="0" xfId="56" applyNumberFormat="1" applyFont="1" applyFill="1">
      <alignment/>
      <protection/>
    </xf>
    <xf numFmtId="204" fontId="8" fillId="32" borderId="0" xfId="56" applyNumberFormat="1" applyFont="1" applyFill="1">
      <alignment/>
      <protection/>
    </xf>
    <xf numFmtId="0" fontId="8" fillId="32" borderId="0" xfId="56" applyFont="1" applyFill="1">
      <alignment/>
      <protection/>
    </xf>
    <xf numFmtId="17" fontId="0" fillId="32" borderId="13" xfId="56" applyNumberFormat="1" applyFont="1" applyFill="1" applyBorder="1" applyAlignment="1">
      <alignment horizontal="left"/>
      <protection/>
    </xf>
    <xf numFmtId="217" fontId="0" fillId="32" borderId="13" xfId="56" applyNumberFormat="1" applyFont="1" applyFill="1" applyBorder="1">
      <alignment/>
      <protection/>
    </xf>
    <xf numFmtId="205" fontId="8" fillId="32" borderId="0" xfId="56" applyNumberFormat="1" applyFont="1" applyFill="1">
      <alignment/>
      <protection/>
    </xf>
    <xf numFmtId="0" fontId="0" fillId="32" borderId="0" xfId="56" applyFill="1">
      <alignment/>
      <protection/>
    </xf>
    <xf numFmtId="206" fontId="0" fillId="32" borderId="68" xfId="56" applyNumberFormat="1" applyFont="1" applyFill="1" applyBorder="1">
      <alignment/>
      <protection/>
    </xf>
    <xf numFmtId="205" fontId="0" fillId="32" borderId="68" xfId="56" applyNumberFormat="1" applyFont="1" applyFill="1" applyBorder="1">
      <alignment/>
      <protection/>
    </xf>
    <xf numFmtId="206" fontId="8" fillId="32" borderId="0" xfId="56" applyNumberFormat="1" applyFont="1" applyFill="1">
      <alignment/>
      <protection/>
    </xf>
    <xf numFmtId="205" fontId="0" fillId="32" borderId="13" xfId="56" applyNumberFormat="1" applyFont="1" applyFill="1" applyBorder="1">
      <alignment/>
      <protection/>
    </xf>
    <xf numFmtId="204" fontId="0" fillId="32" borderId="13" xfId="56" applyNumberFormat="1" applyFont="1" applyFill="1" applyBorder="1">
      <alignment/>
      <protection/>
    </xf>
    <xf numFmtId="0" fontId="0" fillId="32" borderId="13" xfId="56" applyFont="1" applyFill="1" applyBorder="1">
      <alignment/>
      <protection/>
    </xf>
    <xf numFmtId="217" fontId="7" fillId="32" borderId="0" xfId="56" applyNumberFormat="1" applyFont="1" applyFill="1">
      <alignment/>
      <protection/>
    </xf>
    <xf numFmtId="205" fontId="0" fillId="32" borderId="0" xfId="56" applyNumberFormat="1" applyFont="1" applyFill="1">
      <alignment/>
      <protection/>
    </xf>
    <xf numFmtId="206" fontId="0" fillId="32" borderId="0" xfId="56" applyNumberFormat="1" applyFont="1" applyFill="1">
      <alignment/>
      <protection/>
    </xf>
    <xf numFmtId="204" fontId="0" fillId="32" borderId="68" xfId="56" applyNumberFormat="1" applyFont="1" applyFill="1" applyBorder="1">
      <alignment/>
      <protection/>
    </xf>
    <xf numFmtId="0" fontId="0" fillId="32" borderId="68" xfId="56" applyFont="1" applyFill="1" applyBorder="1">
      <alignment/>
      <protection/>
    </xf>
    <xf numFmtId="206" fontId="0" fillId="32" borderId="13" xfId="56" applyNumberFormat="1" applyFont="1" applyFill="1" applyBorder="1">
      <alignment/>
      <protection/>
    </xf>
    <xf numFmtId="198" fontId="0" fillId="32" borderId="0" xfId="62" applyNumberFormat="1" applyFont="1" applyFill="1" applyAlignment="1">
      <alignment/>
    </xf>
    <xf numFmtId="17" fontId="0" fillId="32" borderId="0" xfId="56" applyNumberFormat="1" applyFont="1" applyFill="1">
      <alignment/>
      <protection/>
    </xf>
    <xf numFmtId="0" fontId="10" fillId="0" borderId="0" xfId="57" applyFont="1" applyAlignment="1">
      <alignment horizontal="center"/>
      <protection/>
    </xf>
    <xf numFmtId="0" fontId="13" fillId="0" borderId="0" xfId="0" applyFont="1" applyAlignment="1">
      <alignment/>
    </xf>
    <xf numFmtId="0" fontId="2" fillId="19" borderId="52" xfId="0" applyFont="1" applyFill="1" applyBorder="1" applyAlignment="1">
      <alignment horizontal="center"/>
    </xf>
    <xf numFmtId="0" fontId="2" fillId="19" borderId="105" xfId="0" applyFont="1" applyFill="1" applyBorder="1" applyAlignment="1">
      <alignment horizontal="center"/>
    </xf>
    <xf numFmtId="0" fontId="2" fillId="19" borderId="73" xfId="0" applyFont="1" applyFill="1" applyBorder="1" applyAlignment="1">
      <alignment horizontal="center"/>
    </xf>
    <xf numFmtId="0" fontId="4" fillId="0" borderId="11" xfId="57" applyFont="1" applyBorder="1" applyAlignment="1">
      <alignment horizontal="center"/>
      <protection/>
    </xf>
    <xf numFmtId="0" fontId="4" fillId="0" borderId="70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30" fillId="27" borderId="55" xfId="0" applyFont="1" applyFill="1" applyBorder="1" applyAlignment="1">
      <alignment horizontal="center"/>
    </xf>
    <xf numFmtId="0" fontId="30" fillId="27" borderId="42" xfId="0" applyFont="1" applyFill="1" applyBorder="1" applyAlignment="1">
      <alignment horizontal="center"/>
    </xf>
    <xf numFmtId="0" fontId="30" fillId="27" borderId="69" xfId="0" applyFont="1" applyFill="1" applyBorder="1" applyAlignment="1">
      <alignment horizontal="center"/>
    </xf>
    <xf numFmtId="0" fontId="30" fillId="27" borderId="70" xfId="0" applyFont="1" applyFill="1" applyBorder="1" applyAlignment="1">
      <alignment horizontal="center"/>
    </xf>
    <xf numFmtId="0" fontId="22" fillId="34" borderId="69" xfId="0" applyFont="1" applyFill="1" applyBorder="1" applyAlignment="1">
      <alignment horizontal="center"/>
    </xf>
    <xf numFmtId="0" fontId="22" fillId="34" borderId="70" xfId="0" applyFont="1" applyFill="1" applyBorder="1" applyAlignment="1">
      <alignment horizontal="center"/>
    </xf>
    <xf numFmtId="0" fontId="22" fillId="34" borderId="32" xfId="0" applyFont="1" applyFill="1" applyBorder="1" applyAlignment="1">
      <alignment horizontal="center"/>
    </xf>
    <xf numFmtId="0" fontId="4" fillId="17" borderId="60" xfId="57" applyFont="1" applyFill="1" applyBorder="1" applyAlignment="1">
      <alignment horizontal="center"/>
      <protection/>
    </xf>
    <xf numFmtId="0" fontId="4" fillId="17" borderId="45" xfId="57" applyFont="1" applyFill="1" applyBorder="1" applyAlignment="1">
      <alignment horizontal="center"/>
      <protection/>
    </xf>
    <xf numFmtId="0" fontId="4" fillId="17" borderId="55" xfId="57" applyFont="1" applyFill="1" applyBorder="1" applyAlignment="1">
      <alignment horizontal="center"/>
      <protection/>
    </xf>
    <xf numFmtId="0" fontId="4" fillId="17" borderId="57" xfId="57" applyFont="1" applyFill="1" applyBorder="1" applyAlignment="1">
      <alignment horizontal="center"/>
      <protection/>
    </xf>
    <xf numFmtId="0" fontId="4" fillId="17" borderId="59" xfId="57" applyFont="1" applyFill="1" applyBorder="1" applyAlignment="1">
      <alignment horizontal="center"/>
      <protection/>
    </xf>
    <xf numFmtId="0" fontId="4" fillId="17" borderId="58" xfId="57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2" fillId="27" borderId="60" xfId="0" applyFont="1" applyFill="1" applyBorder="1" applyAlignment="1">
      <alignment horizontal="center"/>
    </xf>
    <xf numFmtId="0" fontId="2" fillId="27" borderId="45" xfId="0" applyFont="1" applyFill="1" applyBorder="1" applyAlignment="1">
      <alignment horizontal="center"/>
    </xf>
    <xf numFmtId="0" fontId="2" fillId="27" borderId="55" xfId="0" applyFont="1" applyFill="1" applyBorder="1" applyAlignment="1">
      <alignment horizontal="center"/>
    </xf>
    <xf numFmtId="0" fontId="2" fillId="27" borderId="57" xfId="0" applyFont="1" applyFill="1" applyBorder="1" applyAlignment="1">
      <alignment horizontal="center"/>
    </xf>
    <xf numFmtId="0" fontId="2" fillId="27" borderId="58" xfId="0" applyFont="1" applyFill="1" applyBorder="1" applyAlignment="1">
      <alignment horizontal="center"/>
    </xf>
    <xf numFmtId="0" fontId="2" fillId="27" borderId="59" xfId="0" applyFont="1" applyFill="1" applyBorder="1" applyAlignment="1">
      <alignment horizontal="center"/>
    </xf>
    <xf numFmtId="0" fontId="4" fillId="31" borderId="60" xfId="0" applyFont="1" applyFill="1" applyBorder="1" applyAlignment="1">
      <alignment horizontal="center"/>
    </xf>
    <xf numFmtId="0" fontId="4" fillId="31" borderId="45" xfId="0" applyFont="1" applyFill="1" applyBorder="1" applyAlignment="1">
      <alignment horizontal="center"/>
    </xf>
    <xf numFmtId="0" fontId="4" fillId="31" borderId="55" xfId="0" applyFont="1" applyFill="1" applyBorder="1" applyAlignment="1">
      <alignment horizontal="center"/>
    </xf>
    <xf numFmtId="0" fontId="4" fillId="31" borderId="57" xfId="0" applyFont="1" applyFill="1" applyBorder="1" applyAlignment="1">
      <alignment horizontal="center"/>
    </xf>
    <xf numFmtId="0" fontId="4" fillId="31" borderId="58" xfId="0" applyFont="1" applyFill="1" applyBorder="1" applyAlignment="1">
      <alignment horizontal="center"/>
    </xf>
    <xf numFmtId="0" fontId="4" fillId="31" borderId="59" xfId="0" applyFont="1" applyFill="1" applyBorder="1" applyAlignment="1">
      <alignment horizontal="center"/>
    </xf>
    <xf numFmtId="0" fontId="2" fillId="27" borderId="48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54" xfId="0" applyFont="1" applyFill="1" applyBorder="1" applyAlignment="1">
      <alignment horizontal="center" vertical="center" wrapText="1"/>
    </xf>
    <xf numFmtId="0" fontId="2" fillId="27" borderId="5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27" borderId="48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54" xfId="0" applyFont="1" applyFill="1" applyBorder="1" applyAlignment="1">
      <alignment horizontal="center" vertical="center"/>
    </xf>
    <xf numFmtId="0" fontId="21" fillId="27" borderId="140" xfId="0" applyFont="1" applyFill="1" applyBorder="1" applyAlignment="1">
      <alignment horizontal="center"/>
    </xf>
    <xf numFmtId="0" fontId="21" fillId="27" borderId="141" xfId="0" applyFont="1" applyFill="1" applyBorder="1" applyAlignment="1">
      <alignment horizontal="center"/>
    </xf>
    <xf numFmtId="0" fontId="21" fillId="27" borderId="142" xfId="0" applyFont="1" applyFill="1" applyBorder="1" applyAlignment="1">
      <alignment horizontal="center"/>
    </xf>
    <xf numFmtId="0" fontId="2" fillId="27" borderId="42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127" xfId="0" applyFont="1" applyFill="1" applyBorder="1" applyAlignment="1">
      <alignment horizontal="center" vertical="center"/>
    </xf>
    <xf numFmtId="0" fontId="2" fillId="27" borderId="2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 wrapText="1"/>
    </xf>
    <xf numFmtId="0" fontId="2" fillId="27" borderId="54" xfId="0" applyFont="1" applyFill="1" applyBorder="1" applyAlignment="1">
      <alignment horizontal="center" vertical="center" wrapText="1"/>
    </xf>
    <xf numFmtId="0" fontId="2" fillId="27" borderId="45" xfId="0" applyFont="1" applyFill="1" applyBorder="1" applyAlignment="1">
      <alignment horizontal="center" vertical="center" wrapText="1"/>
    </xf>
    <xf numFmtId="0" fontId="3" fillId="27" borderId="66" xfId="0" applyFont="1" applyFill="1" applyBorder="1" applyAlignment="1">
      <alignment/>
    </xf>
    <xf numFmtId="0" fontId="13" fillId="29" borderId="140" xfId="0" applyFont="1" applyFill="1" applyBorder="1" applyAlignment="1">
      <alignment horizontal="center"/>
    </xf>
    <xf numFmtId="0" fontId="13" fillId="29" borderId="141" xfId="0" applyFont="1" applyFill="1" applyBorder="1" applyAlignment="1">
      <alignment horizontal="center"/>
    </xf>
    <xf numFmtId="0" fontId="13" fillId="29" borderId="142" xfId="0" applyFont="1" applyFill="1" applyBorder="1" applyAlignment="1">
      <alignment horizontal="center"/>
    </xf>
    <xf numFmtId="0" fontId="4" fillId="29" borderId="42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horizontal="center" vertical="center"/>
    </xf>
    <xf numFmtId="0" fontId="4" fillId="29" borderId="127" xfId="0" applyFont="1" applyFill="1" applyBorder="1" applyAlignment="1">
      <alignment horizontal="center" vertical="center"/>
    </xf>
    <xf numFmtId="0" fontId="4" fillId="29" borderId="29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 wrapText="1"/>
    </xf>
    <xf numFmtId="0" fontId="4" fillId="29" borderId="54" xfId="0" applyFont="1" applyFill="1" applyBorder="1" applyAlignment="1">
      <alignment horizontal="center" vertical="center" wrapText="1"/>
    </xf>
    <xf numFmtId="0" fontId="4" fillId="29" borderId="45" xfId="0" applyFont="1" applyFill="1" applyBorder="1" applyAlignment="1">
      <alignment horizontal="center" vertical="center" wrapText="1"/>
    </xf>
    <xf numFmtId="0" fontId="0" fillId="29" borderId="66" xfId="0" applyFont="1" applyFill="1" applyBorder="1" applyAlignment="1">
      <alignment/>
    </xf>
    <xf numFmtId="0" fontId="0" fillId="27" borderId="24" xfId="0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3" fontId="0" fillId="0" borderId="82" xfId="0" applyNumberFormat="1" applyFill="1" applyBorder="1" applyAlignment="1">
      <alignment horizontal="center" vertical="center"/>
    </xf>
    <xf numFmtId="3" fontId="0" fillId="0" borderId="85" xfId="0" applyNumberForma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74" xfId="0" applyFont="1" applyFill="1" applyBorder="1" applyAlignment="1">
      <alignment vertical="center"/>
    </xf>
    <xf numFmtId="0" fontId="16" fillId="0" borderId="75" xfId="0" applyFont="1" applyFill="1" applyBorder="1" applyAlignment="1">
      <alignment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16" fillId="0" borderId="69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3" fontId="0" fillId="0" borderId="63" xfId="0" applyNumberFormat="1" applyFill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0" fontId="4" fillId="27" borderId="24" xfId="0" applyFont="1" applyFill="1" applyBorder="1" applyAlignment="1">
      <alignment vertical="center"/>
    </xf>
    <xf numFmtId="0" fontId="4" fillId="27" borderId="17" xfId="0" applyFont="1" applyFill="1" applyBorder="1" applyAlignment="1">
      <alignment vertical="center"/>
    </xf>
    <xf numFmtId="0" fontId="4" fillId="27" borderId="16" xfId="0" applyFont="1" applyFill="1" applyBorder="1" applyAlignment="1">
      <alignment vertical="center"/>
    </xf>
    <xf numFmtId="0" fontId="17" fillId="27" borderId="48" xfId="0" applyFont="1" applyFill="1" applyBorder="1" applyAlignment="1">
      <alignment horizontal="center" vertical="center" wrapText="1"/>
    </xf>
    <xf numFmtId="0" fontId="17" fillId="27" borderId="2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3" fontId="2" fillId="27" borderId="16" xfId="0" applyNumberFormat="1" applyFont="1" applyFill="1" applyBorder="1" applyAlignment="1">
      <alignment horizontal="center" vertical="center"/>
    </xf>
    <xf numFmtId="3" fontId="2" fillId="27" borderId="48" xfId="0" applyNumberFormat="1" applyFont="1" applyFill="1" applyBorder="1" applyAlignment="1">
      <alignment horizontal="center" vertical="center" wrapText="1"/>
    </xf>
    <xf numFmtId="3" fontId="2" fillId="27" borderId="17" xfId="0" applyNumberFormat="1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30" fillId="27" borderId="36" xfId="57" applyFont="1" applyFill="1" applyBorder="1" applyAlignment="1">
      <alignment horizontal="center" vertical="center"/>
      <protection/>
    </xf>
    <xf numFmtId="0" fontId="30" fillId="27" borderId="39" xfId="57" applyFont="1" applyFill="1" applyBorder="1" applyAlignment="1">
      <alignment horizontal="center" vertical="center"/>
      <protection/>
    </xf>
    <xf numFmtId="0" fontId="30" fillId="27" borderId="52" xfId="57" applyFont="1" applyFill="1" applyBorder="1" applyAlignment="1">
      <alignment horizontal="center" vertical="center"/>
      <protection/>
    </xf>
    <xf numFmtId="0" fontId="30" fillId="27" borderId="105" xfId="57" applyFont="1" applyFill="1" applyBorder="1" applyAlignment="1">
      <alignment horizontal="center" vertical="center"/>
      <protection/>
    </xf>
    <xf numFmtId="0" fontId="30" fillId="27" borderId="73" xfId="57" applyFont="1" applyFill="1" applyBorder="1" applyAlignment="1">
      <alignment horizontal="center" vertical="center"/>
      <protection/>
    </xf>
    <xf numFmtId="0" fontId="2" fillId="27" borderId="24" xfId="57" applyFont="1" applyFill="1" applyBorder="1" applyAlignment="1">
      <alignment horizontal="center" vertical="center" wrapText="1"/>
      <protection/>
    </xf>
    <xf numFmtId="0" fontId="2" fillId="27" borderId="25" xfId="57" applyFont="1" applyFill="1" applyBorder="1" applyAlignment="1">
      <alignment horizontal="center" vertical="center" wrapText="1"/>
      <protection/>
    </xf>
    <xf numFmtId="201" fontId="0" fillId="0" borderId="132" xfId="57" applyNumberFormat="1" applyFill="1" applyBorder="1" applyAlignment="1">
      <alignment horizontal="center"/>
      <protection/>
    </xf>
    <xf numFmtId="201" fontId="0" fillId="0" borderId="47" xfId="57" applyNumberFormat="1" applyFill="1" applyBorder="1" applyAlignment="1">
      <alignment horizontal="center"/>
      <protection/>
    </xf>
    <xf numFmtId="201" fontId="0" fillId="0" borderId="132" xfId="57" applyNumberFormat="1" applyFont="1" applyFill="1" applyBorder="1" applyAlignment="1">
      <alignment horizontal="center"/>
      <protection/>
    </xf>
    <xf numFmtId="201" fontId="0" fillId="0" borderId="47" xfId="57" applyNumberFormat="1" applyFont="1" applyFill="1" applyBorder="1" applyAlignment="1">
      <alignment horizontal="center"/>
      <protection/>
    </xf>
    <xf numFmtId="3" fontId="0" fillId="0" borderId="132" xfId="57" applyNumberFormat="1" applyFont="1" applyFill="1" applyBorder="1" applyAlignment="1">
      <alignment horizontal="center" vertical="center"/>
      <protection/>
    </xf>
    <xf numFmtId="3" fontId="0" fillId="0" borderId="51" xfId="57" applyNumberFormat="1" applyFont="1" applyFill="1" applyBorder="1" applyAlignment="1">
      <alignment horizontal="center" vertical="center"/>
      <protection/>
    </xf>
    <xf numFmtId="202" fontId="0" fillId="0" borderId="27" xfId="57" applyNumberFormat="1" applyFont="1" applyFill="1" applyBorder="1" applyAlignment="1">
      <alignment horizontal="center" vertical="center"/>
      <protection/>
    </xf>
    <xf numFmtId="202" fontId="0" fillId="0" borderId="47" xfId="57" applyNumberFormat="1" applyFont="1" applyFill="1" applyBorder="1" applyAlignment="1">
      <alignment horizontal="center" vertical="center"/>
      <protection/>
    </xf>
    <xf numFmtId="201" fontId="4" fillId="0" borderId="143" xfId="57" applyNumberFormat="1" applyFont="1" applyFill="1" applyBorder="1" applyAlignment="1">
      <alignment horizontal="center"/>
      <protection/>
    </xf>
    <xf numFmtId="201" fontId="4" fillId="0" borderId="109" xfId="57" applyNumberFormat="1" applyFont="1" applyFill="1" applyBorder="1" applyAlignment="1">
      <alignment horizontal="center"/>
      <protection/>
    </xf>
    <xf numFmtId="3" fontId="0" fillId="0" borderId="143" xfId="57" applyNumberFormat="1" applyFont="1" applyFill="1" applyBorder="1" applyAlignment="1">
      <alignment horizontal="center" vertical="center"/>
      <protection/>
    </xf>
    <xf numFmtId="3" fontId="0" fillId="0" borderId="78" xfId="57" applyNumberFormat="1" applyFont="1" applyFill="1" applyBorder="1" applyAlignment="1">
      <alignment horizontal="center" vertical="center"/>
      <protection/>
    </xf>
    <xf numFmtId="202" fontId="0" fillId="0" borderId="76" xfId="57" applyNumberFormat="1" applyFont="1" applyFill="1" applyBorder="1" applyAlignment="1">
      <alignment horizontal="center" vertical="center"/>
      <protection/>
    </xf>
    <xf numFmtId="202" fontId="0" fillId="0" borderId="109" xfId="57" applyNumberFormat="1" applyFont="1" applyFill="1" applyBorder="1" applyAlignment="1">
      <alignment horizontal="center" vertical="center"/>
      <protection/>
    </xf>
    <xf numFmtId="0" fontId="146" fillId="33" borderId="13" xfId="56" applyFont="1" applyFill="1" applyBorder="1" applyAlignment="1">
      <alignment horizontal="center" vertical="center"/>
      <protection/>
    </xf>
    <xf numFmtId="0" fontId="146" fillId="33" borderId="10" xfId="56" applyFont="1" applyFill="1" applyBorder="1" applyAlignment="1">
      <alignment horizontal="center" vertical="center"/>
      <protection/>
    </xf>
    <xf numFmtId="0" fontId="146" fillId="33" borderId="68" xfId="56" applyFont="1" applyFill="1" applyBorder="1" applyAlignment="1">
      <alignment horizontal="center" vertical="center"/>
      <protection/>
    </xf>
    <xf numFmtId="0" fontId="146" fillId="33" borderId="56" xfId="56" applyFont="1" applyFill="1" applyBorder="1" applyAlignment="1">
      <alignment horizontal="center" vertical="center"/>
      <protection/>
    </xf>
    <xf numFmtId="0" fontId="146" fillId="33" borderId="28" xfId="56" applyFont="1" applyFill="1" applyBorder="1" applyAlignment="1">
      <alignment horizontal="center" vertical="center"/>
      <protection/>
    </xf>
    <xf numFmtId="0" fontId="6" fillId="32" borderId="56" xfId="56" applyFont="1" applyFill="1" applyBorder="1" applyAlignment="1">
      <alignment horizontal="center" vertical="center"/>
      <protection/>
    </xf>
    <xf numFmtId="0" fontId="0" fillId="32" borderId="13" xfId="56" applyFill="1" applyBorder="1" applyAlignment="1">
      <alignment horizontal="center" vertical="center"/>
      <protection/>
    </xf>
    <xf numFmtId="0" fontId="4" fillId="32" borderId="58" xfId="56" applyFont="1" applyFill="1" applyBorder="1" applyAlignment="1">
      <alignment horizontal="center"/>
      <protection/>
    </xf>
    <xf numFmtId="0" fontId="4" fillId="32" borderId="98" xfId="56" applyFont="1" applyFill="1" applyBorder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0" fillId="0" borderId="0" xfId="56">
      <alignment/>
      <protection/>
    </xf>
    <xf numFmtId="0" fontId="150" fillId="0" borderId="0" xfId="56" applyFont="1" applyAlignment="1">
      <alignment horizontal="left"/>
      <protection/>
    </xf>
    <xf numFmtId="0" fontId="151" fillId="35" borderId="144" xfId="56" applyFont="1" applyFill="1" applyBorder="1" applyAlignment="1">
      <alignment horizontal="center"/>
      <protection/>
    </xf>
    <xf numFmtId="0" fontId="151" fillId="35" borderId="145" xfId="56" applyFont="1" applyFill="1" applyBorder="1">
      <alignment/>
      <protection/>
    </xf>
    <xf numFmtId="0" fontId="152" fillId="35" borderId="146" xfId="56" applyFont="1" applyFill="1" applyBorder="1" applyAlignment="1">
      <alignment horizontal="center"/>
      <protection/>
    </xf>
    <xf numFmtId="0" fontId="152" fillId="35" borderId="147" xfId="56" applyFont="1" applyFill="1" applyBorder="1" applyAlignment="1">
      <alignment horizontal="center"/>
      <protection/>
    </xf>
    <xf numFmtId="0" fontId="152" fillId="35" borderId="141" xfId="56" applyFont="1" applyFill="1" applyBorder="1" applyAlignment="1">
      <alignment horizontal="center"/>
      <protection/>
    </xf>
    <xf numFmtId="0" fontId="152" fillId="35" borderId="145" xfId="56" applyFont="1" applyFill="1" applyBorder="1" applyAlignment="1">
      <alignment horizontal="center"/>
      <protection/>
    </xf>
    <xf numFmtId="0" fontId="152" fillId="35" borderId="142" xfId="56" applyFont="1" applyFill="1" applyBorder="1" applyAlignment="1">
      <alignment horizontal="center"/>
      <protection/>
    </xf>
    <xf numFmtId="0" fontId="146" fillId="35" borderId="148" xfId="56" applyFont="1" applyFill="1" applyBorder="1" applyAlignment="1">
      <alignment horizontal="center"/>
      <protection/>
    </xf>
    <xf numFmtId="0" fontId="1" fillId="0" borderId="0" xfId="56" applyFont="1" applyBorder="1">
      <alignment/>
      <protection/>
    </xf>
    <xf numFmtId="0" fontId="34" fillId="0" borderId="0" xfId="56" applyFont="1">
      <alignment/>
      <protection/>
    </xf>
    <xf numFmtId="0" fontId="52" fillId="32" borderId="149" xfId="56" applyFont="1" applyFill="1" applyBorder="1" applyAlignment="1">
      <alignment horizontal="center"/>
      <protection/>
    </xf>
    <xf numFmtId="0" fontId="52" fillId="32" borderId="67" xfId="56" applyFont="1" applyFill="1" applyBorder="1">
      <alignment/>
      <protection/>
    </xf>
    <xf numFmtId="3" fontId="0" fillId="32" borderId="67" xfId="56" applyNumberFormat="1" applyFont="1" applyFill="1" applyBorder="1">
      <alignment/>
      <protection/>
    </xf>
    <xf numFmtId="3" fontId="52" fillId="32" borderId="67" xfId="56" applyNumberFormat="1" applyFont="1" applyFill="1" applyBorder="1">
      <alignment/>
      <protection/>
    </xf>
    <xf numFmtId="3" fontId="52" fillId="32" borderId="52" xfId="56" applyNumberFormat="1" applyFont="1" applyFill="1" applyBorder="1">
      <alignment/>
      <protection/>
    </xf>
    <xf numFmtId="3" fontId="53" fillId="32" borderId="106" xfId="56" applyNumberFormat="1" applyFont="1" applyFill="1" applyBorder="1">
      <alignment/>
      <protection/>
    </xf>
    <xf numFmtId="3" fontId="4" fillId="32" borderId="0" xfId="56" applyNumberFormat="1" applyFont="1" applyFill="1" applyBorder="1">
      <alignment/>
      <protection/>
    </xf>
    <xf numFmtId="0" fontId="4" fillId="32" borderId="0" xfId="56" applyFont="1" applyFill="1" applyBorder="1">
      <alignment/>
      <protection/>
    </xf>
    <xf numFmtId="0" fontId="52" fillId="32" borderId="12" xfId="56" applyFont="1" applyFill="1" applyBorder="1" applyAlignment="1">
      <alignment horizontal="center"/>
      <protection/>
    </xf>
    <xf numFmtId="0" fontId="52" fillId="32" borderId="10" xfId="56" applyFont="1" applyFill="1" applyBorder="1">
      <alignment/>
      <protection/>
    </xf>
    <xf numFmtId="3" fontId="28" fillId="32" borderId="10" xfId="56" applyNumberFormat="1" applyFont="1" applyFill="1" applyBorder="1">
      <alignment/>
      <protection/>
    </xf>
    <xf numFmtId="3" fontId="54" fillId="32" borderId="10" xfId="56" applyNumberFormat="1" applyFont="1" applyFill="1" applyBorder="1">
      <alignment/>
      <protection/>
    </xf>
    <xf numFmtId="3" fontId="52" fillId="32" borderId="10" xfId="56" applyNumberFormat="1" applyFont="1" applyFill="1" applyBorder="1">
      <alignment/>
      <protection/>
    </xf>
    <xf numFmtId="3" fontId="52" fillId="32" borderId="11" xfId="56" applyNumberFormat="1" applyFont="1" applyFill="1" applyBorder="1">
      <alignment/>
      <protection/>
    </xf>
    <xf numFmtId="3" fontId="53" fillId="32" borderId="38" xfId="56" applyNumberFormat="1" applyFont="1" applyFill="1" applyBorder="1">
      <alignment/>
      <protection/>
    </xf>
    <xf numFmtId="3" fontId="0" fillId="32" borderId="10" xfId="56" applyNumberFormat="1" applyFont="1" applyFill="1" applyBorder="1">
      <alignment/>
      <protection/>
    </xf>
    <xf numFmtId="3" fontId="0" fillId="32" borderId="0" xfId="56" applyNumberFormat="1" applyFill="1" applyBorder="1">
      <alignment/>
      <protection/>
    </xf>
    <xf numFmtId="0" fontId="0" fillId="32" borderId="0" xfId="56" applyFill="1" applyBorder="1">
      <alignment/>
      <protection/>
    </xf>
    <xf numFmtId="0" fontId="153" fillId="32" borderId="0" xfId="56" applyFont="1" applyFill="1" applyBorder="1">
      <alignment/>
      <protection/>
    </xf>
    <xf numFmtId="0" fontId="52" fillId="32" borderId="10" xfId="56" applyFont="1" applyFill="1" applyBorder="1" applyAlignment="1">
      <alignment vertical="center" wrapText="1"/>
      <protection/>
    </xf>
    <xf numFmtId="3" fontId="0" fillId="32" borderId="51" xfId="56" applyNumberFormat="1" applyFill="1" applyBorder="1">
      <alignment/>
      <protection/>
    </xf>
    <xf numFmtId="3" fontId="0" fillId="32" borderId="28" xfId="56" applyNumberFormat="1" applyFill="1" applyBorder="1">
      <alignment/>
      <protection/>
    </xf>
    <xf numFmtId="3" fontId="153" fillId="32" borderId="0" xfId="56" applyNumberFormat="1" applyFont="1" applyFill="1" applyBorder="1">
      <alignment/>
      <protection/>
    </xf>
    <xf numFmtId="3" fontId="52" fillId="32" borderId="58" xfId="56" applyNumberFormat="1" applyFont="1" applyFill="1" applyBorder="1">
      <alignment/>
      <protection/>
    </xf>
    <xf numFmtId="0" fontId="56" fillId="0" borderId="144" xfId="56" applyFont="1" applyFill="1" applyBorder="1" applyAlignment="1">
      <alignment horizontal="center"/>
      <protection/>
    </xf>
    <xf numFmtId="0" fontId="56" fillId="0" borderId="145" xfId="56" applyFont="1" applyFill="1" applyBorder="1" applyAlignment="1">
      <alignment horizontal="center"/>
      <protection/>
    </xf>
    <xf numFmtId="3" fontId="4" fillId="0" borderId="146" xfId="56" applyNumberFormat="1" applyFont="1" applyFill="1" applyBorder="1">
      <alignment/>
      <protection/>
    </xf>
    <xf numFmtId="3" fontId="4" fillId="0" borderId="147" xfId="56" applyNumberFormat="1" applyFont="1" applyFill="1" applyBorder="1">
      <alignment/>
      <protection/>
    </xf>
    <xf numFmtId="3" fontId="56" fillId="0" borderId="147" xfId="56" applyNumberFormat="1" applyFont="1" applyFill="1" applyBorder="1">
      <alignment/>
      <protection/>
    </xf>
    <xf numFmtId="3" fontId="56" fillId="0" borderId="150" xfId="56" applyNumberFormat="1" applyFont="1" applyFill="1" applyBorder="1">
      <alignment/>
      <protection/>
    </xf>
    <xf numFmtId="3" fontId="53" fillId="0" borderId="148" xfId="56" applyNumberFormat="1" applyFont="1" applyFill="1" applyBorder="1">
      <alignment/>
      <protection/>
    </xf>
    <xf numFmtId="3" fontId="4" fillId="0" borderId="0" xfId="56" applyNumberFormat="1" applyFont="1" applyBorder="1">
      <alignment/>
      <protection/>
    </xf>
    <xf numFmtId="3" fontId="0" fillId="0" borderId="0" xfId="56" applyNumberFormat="1" applyBorder="1">
      <alignment/>
      <protection/>
    </xf>
    <xf numFmtId="0" fontId="0" fillId="0" borderId="0" xfId="56" applyBorder="1">
      <alignment/>
      <protection/>
    </xf>
    <xf numFmtId="0" fontId="56" fillId="0" borderId="0" xfId="56" applyFont="1" applyFill="1" applyBorder="1" applyAlignment="1">
      <alignment horizontal="center"/>
      <protection/>
    </xf>
    <xf numFmtId="3" fontId="4" fillId="0" borderId="0" xfId="56" applyNumberFormat="1" applyFont="1" applyFill="1" applyBorder="1">
      <alignment/>
      <protection/>
    </xf>
    <xf numFmtId="3" fontId="56" fillId="0" borderId="0" xfId="56" applyNumberFormat="1" applyFont="1" applyFill="1" applyBorder="1">
      <alignment/>
      <protection/>
    </xf>
    <xf numFmtId="3" fontId="53" fillId="0" borderId="0" xfId="56" applyNumberFormat="1" applyFont="1" applyFill="1" applyBorder="1">
      <alignment/>
      <protection/>
    </xf>
    <xf numFmtId="0" fontId="151" fillId="35" borderId="36" xfId="56" applyFont="1" applyFill="1" applyBorder="1" applyAlignment="1">
      <alignment horizontal="center"/>
      <protection/>
    </xf>
    <xf numFmtId="0" fontId="151" fillId="35" borderId="137" xfId="56" applyFont="1" applyFill="1" applyBorder="1">
      <alignment/>
      <protection/>
    </xf>
    <xf numFmtId="3" fontId="147" fillId="35" borderId="24" xfId="56" applyNumberFormat="1" applyFont="1" applyFill="1" applyBorder="1">
      <alignment/>
      <protection/>
    </xf>
    <xf numFmtId="3" fontId="154" fillId="35" borderId="24" xfId="56" applyNumberFormat="1" applyFont="1" applyFill="1" applyBorder="1">
      <alignment/>
      <protection/>
    </xf>
    <xf numFmtId="3" fontId="155" fillId="35" borderId="25" xfId="56" applyNumberFormat="1" applyFont="1" applyFill="1" applyBorder="1">
      <alignment/>
      <protection/>
    </xf>
    <xf numFmtId="3" fontId="28" fillId="32" borderId="67" xfId="56" applyNumberFormat="1" applyFont="1" applyFill="1" applyBorder="1">
      <alignment/>
      <protection/>
    </xf>
    <xf numFmtId="3" fontId="54" fillId="32" borderId="67" xfId="56" applyNumberFormat="1" applyFont="1" applyFill="1" applyBorder="1">
      <alignment/>
      <protection/>
    </xf>
    <xf numFmtId="0" fontId="52" fillId="32" borderId="125" xfId="56" applyFont="1" applyFill="1" applyBorder="1" applyAlignment="1">
      <alignment horizontal="center"/>
      <protection/>
    </xf>
    <xf numFmtId="0" fontId="52" fillId="32" borderId="56" xfId="56" applyFont="1" applyFill="1" applyBorder="1">
      <alignment/>
      <protection/>
    </xf>
    <xf numFmtId="3" fontId="0" fillId="32" borderId="56" xfId="56" applyNumberFormat="1" applyFont="1" applyFill="1" applyBorder="1">
      <alignment/>
      <protection/>
    </xf>
    <xf numFmtId="3" fontId="52" fillId="32" borderId="56" xfId="56" applyNumberFormat="1" applyFont="1" applyFill="1" applyBorder="1">
      <alignment/>
      <protection/>
    </xf>
    <xf numFmtId="3" fontId="53" fillId="32" borderId="151" xfId="56" applyNumberFormat="1" applyFont="1" applyFill="1" applyBorder="1">
      <alignment/>
      <protection/>
    </xf>
    <xf numFmtId="0" fontId="56" fillId="32" borderId="144" xfId="56" applyFont="1" applyFill="1" applyBorder="1" applyAlignment="1">
      <alignment horizontal="center"/>
      <protection/>
    </xf>
    <xf numFmtId="0" fontId="56" fillId="32" borderId="145" xfId="56" applyFont="1" applyFill="1" applyBorder="1" applyAlignment="1">
      <alignment horizontal="center"/>
      <protection/>
    </xf>
    <xf numFmtId="3" fontId="4" fillId="32" borderId="146" xfId="56" applyNumberFormat="1" applyFont="1" applyFill="1" applyBorder="1">
      <alignment/>
      <protection/>
    </xf>
    <xf numFmtId="3" fontId="4" fillId="32" borderId="147" xfId="56" applyNumberFormat="1" applyFont="1" applyFill="1" applyBorder="1">
      <alignment/>
      <protection/>
    </xf>
    <xf numFmtId="3" fontId="56" fillId="32" borderId="147" xfId="56" applyNumberFormat="1" applyFont="1" applyFill="1" applyBorder="1">
      <alignment/>
      <protection/>
    </xf>
    <xf numFmtId="0" fontId="56" fillId="32" borderId="147" xfId="56" applyFont="1" applyFill="1" applyBorder="1">
      <alignment/>
      <protection/>
    </xf>
    <xf numFmtId="3" fontId="56" fillId="32" borderId="150" xfId="56" applyNumberFormat="1" applyFont="1" applyFill="1" applyBorder="1">
      <alignment/>
      <protection/>
    </xf>
    <xf numFmtId="3" fontId="56" fillId="32" borderId="145" xfId="56" applyNumberFormat="1" applyFont="1" applyFill="1" applyBorder="1">
      <alignment/>
      <protection/>
    </xf>
    <xf numFmtId="3" fontId="53" fillId="32" borderId="148" xfId="56" applyNumberFormat="1" applyFont="1" applyFill="1" applyBorder="1">
      <alignment/>
      <protection/>
    </xf>
    <xf numFmtId="0" fontId="56" fillId="32" borderId="0" xfId="56" applyFont="1" applyFill="1" applyBorder="1" applyAlignment="1">
      <alignment horizontal="center"/>
      <protection/>
    </xf>
    <xf numFmtId="3" fontId="56" fillId="32" borderId="0" xfId="56" applyNumberFormat="1" applyFont="1" applyFill="1" applyBorder="1">
      <alignment/>
      <protection/>
    </xf>
    <xf numFmtId="0" fontId="56" fillId="32" borderId="0" xfId="56" applyFont="1" applyFill="1" applyBorder="1">
      <alignment/>
      <protection/>
    </xf>
    <xf numFmtId="3" fontId="53" fillId="32" borderId="0" xfId="56" applyNumberFormat="1" applyFont="1" applyFill="1" applyBorder="1">
      <alignment/>
      <protection/>
    </xf>
    <xf numFmtId="0" fontId="154" fillId="35" borderId="24" xfId="56" applyFont="1" applyFill="1" applyBorder="1">
      <alignment/>
      <protection/>
    </xf>
    <xf numFmtId="0" fontId="52" fillId="32" borderId="10" xfId="56" applyFont="1" applyFill="1" applyBorder="1" applyAlignment="1">
      <alignment horizontal="left" vertical="center" wrapText="1"/>
      <protection/>
    </xf>
    <xf numFmtId="3" fontId="0" fillId="32" borderId="0" xfId="56" applyNumberFormat="1" applyFill="1">
      <alignment/>
      <protection/>
    </xf>
    <xf numFmtId="0" fontId="52" fillId="32" borderId="12" xfId="56" applyFont="1" applyFill="1" applyBorder="1" applyAlignment="1">
      <alignment horizontal="center" vertical="center" wrapText="1"/>
      <protection/>
    </xf>
    <xf numFmtId="3" fontId="52" fillId="32" borderId="0" xfId="56" applyNumberFormat="1" applyFont="1" applyFill="1" applyBorder="1">
      <alignment/>
      <protection/>
    </xf>
    <xf numFmtId="0" fontId="52" fillId="32" borderId="152" xfId="56" applyFont="1" applyFill="1" applyBorder="1" applyAlignment="1">
      <alignment horizontal="center" vertical="center" wrapText="1"/>
      <protection/>
    </xf>
    <xf numFmtId="0" fontId="52" fillId="32" borderId="68" xfId="56" applyFont="1" applyFill="1" applyBorder="1" applyAlignment="1">
      <alignment horizontal="left" vertical="center" wrapText="1"/>
      <protection/>
    </xf>
    <xf numFmtId="3" fontId="0" fillId="32" borderId="68" xfId="56" applyNumberFormat="1" applyFont="1" applyFill="1" applyBorder="1">
      <alignment/>
      <protection/>
    </xf>
    <xf numFmtId="3" fontId="52" fillId="32" borderId="68" xfId="56" applyNumberFormat="1" applyFont="1" applyFill="1" applyBorder="1">
      <alignment/>
      <protection/>
    </xf>
    <xf numFmtId="0" fontId="0" fillId="32" borderId="72" xfId="56" applyFill="1" applyBorder="1">
      <alignment/>
      <protection/>
    </xf>
    <xf numFmtId="3" fontId="53" fillId="32" borderId="108" xfId="56" applyNumberFormat="1" applyFont="1" applyFill="1" applyBorder="1">
      <alignment/>
      <protection/>
    </xf>
    <xf numFmtId="0" fontId="56" fillId="0" borderId="41" xfId="56" applyFont="1" applyFill="1" applyBorder="1" applyAlignment="1">
      <alignment horizontal="center"/>
      <protection/>
    </xf>
    <xf numFmtId="0" fontId="56" fillId="0" borderId="77" xfId="56" applyFont="1" applyFill="1" applyBorder="1" applyAlignment="1">
      <alignment horizontal="center"/>
      <protection/>
    </xf>
    <xf numFmtId="3" fontId="4" fillId="0" borderId="144" xfId="56" applyNumberFormat="1" applyFont="1" applyFill="1" applyBorder="1">
      <alignment/>
      <protection/>
    </xf>
    <xf numFmtId="0" fontId="52" fillId="0" borderId="0" xfId="56" applyFont="1" applyBorder="1">
      <alignment/>
      <protection/>
    </xf>
    <xf numFmtId="0" fontId="56" fillId="0" borderId="0" xfId="56" applyFont="1" applyBorder="1">
      <alignment/>
      <protection/>
    </xf>
    <xf numFmtId="3" fontId="53" fillId="0" borderId="0" xfId="56" applyNumberFormat="1" applyFont="1" applyBorder="1">
      <alignment/>
      <protection/>
    </xf>
    <xf numFmtId="3" fontId="53" fillId="0" borderId="147" xfId="56" applyNumberFormat="1" applyFont="1" applyFill="1" applyBorder="1">
      <alignment/>
      <protection/>
    </xf>
    <xf numFmtId="3" fontId="53" fillId="0" borderId="150" xfId="56" applyNumberFormat="1" applyFont="1" applyFill="1" applyBorder="1">
      <alignment/>
      <protection/>
    </xf>
    <xf numFmtId="0" fontId="59" fillId="0" borderId="0" xfId="56" applyFont="1">
      <alignment/>
      <protection/>
    </xf>
    <xf numFmtId="0" fontId="0" fillId="0" borderId="0" xfId="56" applyFont="1">
      <alignment/>
      <protection/>
    </xf>
    <xf numFmtId="9" fontId="4" fillId="0" borderId="0" xfId="62" applyNumberFormat="1" applyFont="1" applyAlignment="1">
      <alignment/>
    </xf>
    <xf numFmtId="9" fontId="0" fillId="0" borderId="0" xfId="62" applyFont="1" applyAlignment="1">
      <alignment/>
    </xf>
    <xf numFmtId="0" fontId="0" fillId="0" borderId="0" xfId="56" applyFont="1" applyBorder="1">
      <alignment/>
      <protection/>
    </xf>
    <xf numFmtId="0" fontId="60" fillId="0" borderId="0" xfId="56" applyFont="1">
      <alignment/>
      <protection/>
    </xf>
    <xf numFmtId="9" fontId="4" fillId="0" borderId="0" xfId="62" applyFont="1" applyAlignment="1">
      <alignment/>
    </xf>
    <xf numFmtId="9" fontId="0" fillId="0" borderId="0" xfId="62" applyAlignment="1">
      <alignment/>
    </xf>
    <xf numFmtId="0" fontId="9" fillId="0" borderId="0" xfId="56" applyFont="1" applyAlignment="1">
      <alignment horizontal="left"/>
      <protection/>
    </xf>
    <xf numFmtId="0" fontId="52" fillId="32" borderId="153" xfId="56" applyFont="1" applyFill="1" applyBorder="1" applyAlignment="1">
      <alignment horizontal="center"/>
      <protection/>
    </xf>
    <xf numFmtId="0" fontId="52" fillId="32" borderId="154" xfId="56" applyFont="1" applyFill="1" applyBorder="1">
      <alignment/>
      <protection/>
    </xf>
    <xf numFmtId="3" fontId="52" fillId="32" borderId="154" xfId="56" applyNumberFormat="1" applyFont="1" applyFill="1" applyBorder="1">
      <alignment/>
      <protection/>
    </xf>
    <xf numFmtId="3" fontId="52" fillId="32" borderId="155" xfId="56" applyNumberFormat="1" applyFont="1" applyFill="1" applyBorder="1">
      <alignment/>
      <protection/>
    </xf>
    <xf numFmtId="3" fontId="52" fillId="32" borderId="156" xfId="56" applyNumberFormat="1" applyFont="1" applyFill="1" applyBorder="1">
      <alignment/>
      <protection/>
    </xf>
    <xf numFmtId="3" fontId="53" fillId="32" borderId="34" xfId="56" applyNumberFormat="1" applyFont="1" applyFill="1" applyBorder="1">
      <alignment/>
      <protection/>
    </xf>
    <xf numFmtId="0" fontId="52" fillId="32" borderId="157" xfId="56" applyFont="1" applyFill="1" applyBorder="1" applyAlignment="1">
      <alignment horizontal="center"/>
      <protection/>
    </xf>
    <xf numFmtId="0" fontId="52" fillId="32" borderId="158" xfId="56" applyFont="1" applyFill="1" applyBorder="1">
      <alignment/>
      <protection/>
    </xf>
    <xf numFmtId="3" fontId="52" fillId="32" borderId="158" xfId="56" applyNumberFormat="1" applyFont="1" applyFill="1" applyBorder="1">
      <alignment/>
      <protection/>
    </xf>
    <xf numFmtId="0" fontId="52" fillId="32" borderId="159" xfId="56" applyFont="1" applyFill="1" applyBorder="1">
      <alignment/>
      <protection/>
    </xf>
    <xf numFmtId="0" fontId="52" fillId="32" borderId="160" xfId="56" applyFont="1" applyFill="1" applyBorder="1">
      <alignment/>
      <protection/>
    </xf>
    <xf numFmtId="3" fontId="53" fillId="32" borderId="31" xfId="56" applyNumberFormat="1" applyFont="1" applyFill="1" applyBorder="1">
      <alignment/>
      <protection/>
    </xf>
    <xf numFmtId="3" fontId="52" fillId="32" borderId="159" xfId="56" applyNumberFormat="1" applyFont="1" applyFill="1" applyBorder="1">
      <alignment/>
      <protection/>
    </xf>
    <xf numFmtId="3" fontId="52" fillId="32" borderId="160" xfId="56" applyNumberFormat="1" applyFont="1" applyFill="1" applyBorder="1">
      <alignment/>
      <protection/>
    </xf>
    <xf numFmtId="0" fontId="52" fillId="32" borderId="41" xfId="56" applyFont="1" applyFill="1" applyBorder="1" applyAlignment="1">
      <alignment horizontal="center"/>
      <protection/>
    </xf>
    <xf numFmtId="0" fontId="52" fillId="32" borderId="29" xfId="56" applyFont="1" applyFill="1" applyBorder="1">
      <alignment/>
      <protection/>
    </xf>
    <xf numFmtId="3" fontId="52" fillId="32" borderId="29" xfId="56" applyNumberFormat="1" applyFont="1" applyFill="1" applyBorder="1">
      <alignment/>
      <protection/>
    </xf>
    <xf numFmtId="3" fontId="52" fillId="32" borderId="78" xfId="56" applyNumberFormat="1" applyFont="1" applyFill="1" applyBorder="1">
      <alignment/>
      <protection/>
    </xf>
    <xf numFmtId="3" fontId="52" fillId="32" borderId="76" xfId="56" applyNumberFormat="1" applyFont="1" applyFill="1" applyBorder="1">
      <alignment/>
      <protection/>
    </xf>
    <xf numFmtId="3" fontId="52" fillId="32" borderId="54" xfId="56" applyNumberFormat="1" applyFont="1" applyFill="1" applyBorder="1">
      <alignment/>
      <protection/>
    </xf>
    <xf numFmtId="3" fontId="53" fillId="32" borderId="33" xfId="56" applyNumberFormat="1" applyFont="1" applyFill="1" applyBorder="1">
      <alignment/>
      <protection/>
    </xf>
    <xf numFmtId="0" fontId="56" fillId="25" borderId="41" xfId="56" applyFont="1" applyFill="1" applyBorder="1" applyAlignment="1">
      <alignment horizontal="center"/>
      <protection/>
    </xf>
    <xf numFmtId="0" fontId="56" fillId="25" borderId="29" xfId="56" applyFont="1" applyFill="1" applyBorder="1" applyAlignment="1">
      <alignment horizontal="center"/>
      <protection/>
    </xf>
    <xf numFmtId="3" fontId="56" fillId="25" borderId="29" xfId="56" applyNumberFormat="1" applyFont="1" applyFill="1" applyBorder="1">
      <alignment/>
      <protection/>
    </xf>
    <xf numFmtId="3" fontId="56" fillId="25" borderId="76" xfId="56" applyNumberFormat="1" applyFont="1" applyFill="1" applyBorder="1">
      <alignment/>
      <protection/>
    </xf>
    <xf numFmtId="3" fontId="53" fillId="25" borderId="66" xfId="56" applyNumberFormat="1" applyFont="1" applyFill="1" applyBorder="1">
      <alignment/>
      <protection/>
    </xf>
    <xf numFmtId="3" fontId="54" fillId="32" borderId="154" xfId="56" applyNumberFormat="1" applyFont="1" applyFill="1" applyBorder="1">
      <alignment/>
      <protection/>
    </xf>
    <xf numFmtId="3" fontId="54" fillId="32" borderId="156" xfId="56" applyNumberFormat="1" applyFont="1" applyFill="1" applyBorder="1">
      <alignment/>
      <protection/>
    </xf>
    <xf numFmtId="3" fontId="54" fillId="32" borderId="155" xfId="56" applyNumberFormat="1" applyFont="1" applyFill="1" applyBorder="1">
      <alignment/>
      <protection/>
    </xf>
    <xf numFmtId="3" fontId="52" fillId="32" borderId="161" xfId="56" applyNumberFormat="1" applyFont="1" applyFill="1" applyBorder="1">
      <alignment/>
      <protection/>
    </xf>
    <xf numFmtId="3" fontId="53" fillId="32" borderId="162" xfId="56" applyNumberFormat="1" applyFont="1" applyFill="1" applyBorder="1">
      <alignment/>
      <protection/>
    </xf>
    <xf numFmtId="3" fontId="54" fillId="32" borderId="158" xfId="56" applyNumberFormat="1" applyFont="1" applyFill="1" applyBorder="1">
      <alignment/>
      <protection/>
    </xf>
    <xf numFmtId="3" fontId="54" fillId="32" borderId="159" xfId="56" applyNumberFormat="1" applyFont="1" applyFill="1" applyBorder="1">
      <alignment/>
      <protection/>
    </xf>
    <xf numFmtId="3" fontId="54" fillId="32" borderId="160" xfId="56" applyNumberFormat="1" applyFont="1" applyFill="1" applyBorder="1">
      <alignment/>
      <protection/>
    </xf>
    <xf numFmtId="3" fontId="52" fillId="32" borderId="163" xfId="56" applyNumberFormat="1" applyFont="1" applyFill="1" applyBorder="1">
      <alignment/>
      <protection/>
    </xf>
    <xf numFmtId="3" fontId="53" fillId="32" borderId="164" xfId="56" applyNumberFormat="1" applyFont="1" applyFill="1" applyBorder="1">
      <alignment/>
      <protection/>
    </xf>
    <xf numFmtId="0" fontId="52" fillId="32" borderId="163" xfId="56" applyFont="1" applyFill="1" applyBorder="1">
      <alignment/>
      <protection/>
    </xf>
    <xf numFmtId="0" fontId="52" fillId="32" borderId="54" xfId="56" applyFont="1" applyFill="1" applyBorder="1">
      <alignment/>
      <protection/>
    </xf>
    <xf numFmtId="3" fontId="53" fillId="32" borderId="165" xfId="56" applyNumberFormat="1" applyFont="1" applyFill="1" applyBorder="1">
      <alignment/>
      <protection/>
    </xf>
    <xf numFmtId="0" fontId="56" fillId="25" borderId="144" xfId="56" applyFont="1" applyFill="1" applyBorder="1" applyAlignment="1">
      <alignment horizontal="center"/>
      <protection/>
    </xf>
    <xf numFmtId="0" fontId="56" fillId="25" borderId="147" xfId="56" applyFont="1" applyFill="1" applyBorder="1" applyAlignment="1">
      <alignment horizontal="center"/>
      <protection/>
    </xf>
    <xf numFmtId="3" fontId="56" fillId="25" borderId="147" xfId="56" applyNumberFormat="1" applyFont="1" applyFill="1" applyBorder="1">
      <alignment/>
      <protection/>
    </xf>
    <xf numFmtId="3" fontId="53" fillId="25" borderId="148" xfId="56" applyNumberFormat="1" applyFont="1" applyFill="1" applyBorder="1">
      <alignment/>
      <protection/>
    </xf>
    <xf numFmtId="209" fontId="52" fillId="32" borderId="158" xfId="56" applyNumberFormat="1" applyFont="1" applyFill="1" applyBorder="1">
      <alignment/>
      <protection/>
    </xf>
    <xf numFmtId="209" fontId="52" fillId="32" borderId="163" xfId="56" applyNumberFormat="1" applyFont="1" applyFill="1" applyBorder="1">
      <alignment/>
      <protection/>
    </xf>
    <xf numFmtId="3" fontId="62" fillId="32" borderId="158" xfId="56" applyNumberFormat="1" applyFont="1" applyFill="1" applyBorder="1">
      <alignment/>
      <protection/>
    </xf>
    <xf numFmtId="3" fontId="62" fillId="32" borderId="159" xfId="56" applyNumberFormat="1" applyFont="1" applyFill="1" applyBorder="1">
      <alignment/>
      <protection/>
    </xf>
    <xf numFmtId="3" fontId="62" fillId="32" borderId="160" xfId="56" applyNumberFormat="1" applyFont="1" applyFill="1" applyBorder="1">
      <alignment/>
      <protection/>
    </xf>
    <xf numFmtId="3" fontId="52" fillId="32" borderId="160" xfId="56" applyNumberFormat="1" applyFont="1" applyFill="1" applyBorder="1" applyAlignment="1">
      <alignment horizontal="center"/>
      <protection/>
    </xf>
    <xf numFmtId="0" fontId="52" fillId="0" borderId="29" xfId="56" applyFont="1" applyFill="1" applyBorder="1">
      <alignment/>
      <protection/>
    </xf>
    <xf numFmtId="3" fontId="52" fillId="0" borderId="29" xfId="56" applyNumberFormat="1" applyFont="1" applyFill="1" applyBorder="1">
      <alignment/>
      <protection/>
    </xf>
    <xf numFmtId="3" fontId="52" fillId="0" borderId="78" xfId="56" applyNumberFormat="1" applyFont="1" applyFill="1" applyBorder="1">
      <alignment/>
      <protection/>
    </xf>
    <xf numFmtId="3" fontId="52" fillId="0" borderId="76" xfId="56" applyNumberFormat="1" applyFont="1" applyFill="1" applyBorder="1">
      <alignment/>
      <protection/>
    </xf>
    <xf numFmtId="3" fontId="52" fillId="0" borderId="0" xfId="56" applyNumberFormat="1" applyFont="1" applyFill="1" applyBorder="1">
      <alignment/>
      <protection/>
    </xf>
    <xf numFmtId="3" fontId="53" fillId="0" borderId="164" xfId="56" applyNumberFormat="1" applyFont="1" applyFill="1" applyBorder="1">
      <alignment/>
      <protection/>
    </xf>
    <xf numFmtId="3" fontId="0" fillId="0" borderId="0" xfId="56" applyNumberFormat="1">
      <alignment/>
      <protection/>
    </xf>
    <xf numFmtId="0" fontId="52" fillId="0" borderId="0" xfId="56" applyFont="1" applyFill="1" applyBorder="1" applyAlignment="1">
      <alignment horizontal="left"/>
      <protection/>
    </xf>
    <xf numFmtId="0" fontId="9" fillId="0" borderId="0" xfId="56" applyFont="1" applyAlignment="1">
      <alignment horizontal="left"/>
      <protection/>
    </xf>
    <xf numFmtId="3" fontId="4" fillId="0" borderId="150" xfId="56" applyNumberFormat="1" applyFont="1" applyFill="1" applyBorder="1">
      <alignment/>
      <protection/>
    </xf>
    <xf numFmtId="3" fontId="4" fillId="0" borderId="148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center"/>
      <protection/>
    </xf>
    <xf numFmtId="0" fontId="64" fillId="0" borderId="0" xfId="56" applyFont="1" applyFill="1" applyBorder="1">
      <alignment/>
      <protection/>
    </xf>
    <xf numFmtId="0" fontId="53" fillId="25" borderId="144" xfId="56" applyFont="1" applyFill="1" applyBorder="1" applyAlignment="1">
      <alignment horizontal="center"/>
      <protection/>
    </xf>
    <xf numFmtId="0" fontId="53" fillId="25" borderId="147" xfId="56" applyFont="1" applyFill="1" applyBorder="1" applyAlignment="1">
      <alignment horizontal="center"/>
      <protection/>
    </xf>
    <xf numFmtId="3" fontId="53" fillId="25" borderId="147" xfId="56" applyNumberFormat="1" applyFont="1" applyFill="1" applyBorder="1">
      <alignment/>
      <protection/>
    </xf>
    <xf numFmtId="3" fontId="53" fillId="25" borderId="145" xfId="56" applyNumberFormat="1" applyFont="1" applyFill="1" applyBorder="1">
      <alignment/>
      <protection/>
    </xf>
    <xf numFmtId="3" fontId="156" fillId="0" borderId="0" xfId="56" applyNumberFormat="1" applyFont="1" applyBorder="1">
      <alignment/>
      <protection/>
    </xf>
    <xf numFmtId="0" fontId="157" fillId="0" borderId="0" xfId="56" applyFont="1">
      <alignment/>
      <protection/>
    </xf>
    <xf numFmtId="0" fontId="0" fillId="0" borderId="0" xfId="56" applyFill="1" applyBorder="1">
      <alignment/>
      <protection/>
    </xf>
    <xf numFmtId="3" fontId="157" fillId="0" borderId="0" xfId="56" applyNumberFormat="1" applyFont="1" applyBorder="1">
      <alignment/>
      <protection/>
    </xf>
    <xf numFmtId="0" fontId="67" fillId="0" borderId="0" xfId="56" applyFont="1" applyBorder="1">
      <alignment/>
      <protection/>
    </xf>
    <xf numFmtId="3" fontId="157" fillId="0" borderId="0" xfId="56" applyNumberFormat="1" applyFont="1">
      <alignment/>
      <protection/>
    </xf>
    <xf numFmtId="0" fontId="4" fillId="0" borderId="0" xfId="56" applyFont="1" applyBorder="1">
      <alignment/>
      <protection/>
    </xf>
    <xf numFmtId="0" fontId="157" fillId="0" borderId="0" xfId="56" applyFont="1" applyBorder="1">
      <alignment/>
      <protection/>
    </xf>
    <xf numFmtId="0" fontId="158" fillId="32" borderId="0" xfId="56" applyFont="1" applyFill="1">
      <alignment/>
      <protection/>
    </xf>
    <xf numFmtId="0" fontId="158" fillId="0" borderId="0" xfId="56" applyFont="1">
      <alignment/>
      <protection/>
    </xf>
    <xf numFmtId="0" fontId="158" fillId="0" borderId="10" xfId="56" applyFont="1" applyBorder="1">
      <alignment/>
      <protection/>
    </xf>
    <xf numFmtId="0" fontId="13" fillId="0" borderId="0" xfId="56" applyFont="1" applyAlignment="1">
      <alignment horizontal="left"/>
      <protection/>
    </xf>
    <xf numFmtId="0" fontId="13" fillId="32" borderId="0" xfId="56" applyFont="1" applyFill="1" applyAlignment="1">
      <alignment horizontal="left"/>
      <protection/>
    </xf>
    <xf numFmtId="0" fontId="159" fillId="32" borderId="0" xfId="56" applyFont="1" applyFill="1" applyAlignment="1">
      <alignment horizontal="left"/>
      <protection/>
    </xf>
    <xf numFmtId="3" fontId="158" fillId="0" borderId="0" xfId="56" applyNumberFormat="1" applyFont="1">
      <alignment/>
      <protection/>
    </xf>
    <xf numFmtId="0" fontId="13" fillId="0" borderId="0" xfId="56" applyFont="1" applyAlignment="1">
      <alignment horizontal="left"/>
      <protection/>
    </xf>
    <xf numFmtId="0" fontId="2" fillId="27" borderId="56" xfId="56" applyFont="1" applyFill="1" applyBorder="1" applyAlignment="1">
      <alignment horizontal="center" vertical="center" wrapText="1"/>
      <protection/>
    </xf>
    <xf numFmtId="0" fontId="2" fillId="27" borderId="56" xfId="56" applyFont="1" applyFill="1" applyBorder="1" applyAlignment="1">
      <alignment horizontal="right"/>
      <protection/>
    </xf>
    <xf numFmtId="0" fontId="2" fillId="27" borderId="56" xfId="56" applyFont="1" applyFill="1" applyBorder="1" applyAlignment="1">
      <alignment horizontal="center"/>
      <protection/>
    </xf>
    <xf numFmtId="0" fontId="2" fillId="32" borderId="0" xfId="56" applyFont="1" applyFill="1" applyBorder="1" applyAlignment="1">
      <alignment horizontal="center"/>
      <protection/>
    </xf>
    <xf numFmtId="0" fontId="160" fillId="32" borderId="0" xfId="56" applyFont="1" applyFill="1" applyBorder="1" applyAlignment="1">
      <alignment horizontal="center"/>
      <protection/>
    </xf>
    <xf numFmtId="1" fontId="158" fillId="0" borderId="0" xfId="56" applyNumberFormat="1" applyFont="1">
      <alignment/>
      <protection/>
    </xf>
    <xf numFmtId="0" fontId="2" fillId="27" borderId="13" xfId="56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>
      <alignment/>
      <protection/>
    </xf>
    <xf numFmtId="3" fontId="160" fillId="32" borderId="0" xfId="56" applyNumberFormat="1" applyFont="1" applyFill="1" applyBorder="1">
      <alignment/>
      <protection/>
    </xf>
    <xf numFmtId="0" fontId="158" fillId="0" borderId="0" xfId="56" applyFont="1" applyAlignment="1">
      <alignment horizontal="center"/>
      <protection/>
    </xf>
    <xf numFmtId="0" fontId="158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58" fillId="0" borderId="0" xfId="56" applyFont="1" applyBorder="1">
      <alignment/>
      <protection/>
    </xf>
    <xf numFmtId="0" fontId="2" fillId="27" borderId="10" xfId="56" applyFont="1" applyFill="1" applyBorder="1">
      <alignment/>
      <protection/>
    </xf>
    <xf numFmtId="0" fontId="2" fillId="27" borderId="10" xfId="56" applyFont="1" applyFill="1" applyBorder="1" applyAlignment="1">
      <alignment horizontal="center"/>
      <protection/>
    </xf>
    <xf numFmtId="0" fontId="4" fillId="0" borderId="10" xfId="56" applyFont="1" applyFill="1" applyBorder="1">
      <alignment/>
      <protection/>
    </xf>
    <xf numFmtId="216" fontId="4" fillId="0" borderId="10" xfId="56" applyNumberFormat="1" applyFont="1" applyFill="1" applyBorder="1" applyAlignment="1">
      <alignment horizontal="center"/>
      <protection/>
    </xf>
    <xf numFmtId="9" fontId="160" fillId="32" borderId="0" xfId="64" applyFont="1" applyFill="1" applyBorder="1" applyAlignment="1">
      <alignment horizontal="center"/>
    </xf>
    <xf numFmtId="216" fontId="160" fillId="32" borderId="0" xfId="56" applyNumberFormat="1" applyFont="1" applyFill="1" applyBorder="1" applyAlignment="1">
      <alignment horizontal="center"/>
      <protection/>
    </xf>
    <xf numFmtId="3" fontId="158" fillId="0" borderId="0" xfId="56" applyNumberFormat="1" applyFont="1" applyBorder="1">
      <alignment/>
      <protection/>
    </xf>
    <xf numFmtId="0" fontId="4" fillId="0" borderId="57" xfId="56" applyFont="1" applyBorder="1">
      <alignment/>
      <protection/>
    </xf>
    <xf numFmtId="216" fontId="0" fillId="0" borderId="57" xfId="56" applyNumberFormat="1" applyBorder="1">
      <alignment/>
      <protection/>
    </xf>
    <xf numFmtId="216" fontId="4" fillId="0" borderId="57" xfId="56" applyNumberFormat="1" applyFont="1" applyBorder="1" applyAlignment="1">
      <alignment horizontal="center"/>
      <protection/>
    </xf>
    <xf numFmtId="216" fontId="4" fillId="32" borderId="0" xfId="56" applyNumberFormat="1" applyFont="1" applyFill="1" applyBorder="1" applyAlignment="1">
      <alignment horizontal="center"/>
      <protection/>
    </xf>
    <xf numFmtId="216" fontId="158" fillId="0" borderId="0" xfId="56" applyNumberFormat="1" applyFont="1">
      <alignment/>
      <protection/>
    </xf>
    <xf numFmtId="216" fontId="0" fillId="0" borderId="0" xfId="56" applyNumberFormat="1" applyBorder="1">
      <alignment/>
      <protection/>
    </xf>
    <xf numFmtId="216" fontId="4" fillId="0" borderId="0" xfId="56" applyNumberFormat="1" applyFont="1" applyBorder="1" applyAlignment="1">
      <alignment horizontal="center"/>
      <protection/>
    </xf>
    <xf numFmtId="3" fontId="158" fillId="32" borderId="0" xfId="56" applyNumberFormat="1" applyFont="1" applyFill="1" applyBorder="1">
      <alignment/>
      <protection/>
    </xf>
    <xf numFmtId="0" fontId="1" fillId="0" borderId="0" xfId="56" applyFont="1" applyBorder="1" applyAlignment="1">
      <alignment horizontal="left"/>
      <protection/>
    </xf>
    <xf numFmtId="0" fontId="1" fillId="32" borderId="0" xfId="56" applyFont="1" applyFill="1" applyBorder="1" applyAlignment="1">
      <alignment horizontal="left"/>
      <protection/>
    </xf>
    <xf numFmtId="0" fontId="161" fillId="32" borderId="0" xfId="56" applyFont="1" applyFill="1" applyBorder="1" applyAlignment="1">
      <alignment horizontal="left"/>
      <protection/>
    </xf>
    <xf numFmtId="0" fontId="13" fillId="32" borderId="0" xfId="56" applyFont="1" applyFill="1" applyBorder="1" applyAlignment="1">
      <alignment horizontal="left"/>
      <protection/>
    </xf>
    <xf numFmtId="0" fontId="159" fillId="32" borderId="0" xfId="56" applyFont="1" applyFill="1" applyBorder="1" applyAlignment="1">
      <alignment horizontal="left"/>
      <protection/>
    </xf>
    <xf numFmtId="0" fontId="2" fillId="32" borderId="0" xfId="56" applyFont="1" applyFill="1" applyBorder="1">
      <alignment/>
      <protection/>
    </xf>
    <xf numFmtId="3" fontId="158" fillId="0" borderId="10" xfId="56" applyNumberFormat="1" applyFont="1" applyBorder="1">
      <alignment/>
      <protection/>
    </xf>
    <xf numFmtId="0" fontId="158" fillId="32" borderId="0" xfId="56" applyFont="1" applyFill="1" applyBorder="1">
      <alignment/>
      <protection/>
    </xf>
    <xf numFmtId="3" fontId="28" fillId="32" borderId="0" xfId="56" applyNumberFormat="1" applyFont="1" applyFill="1" applyBorder="1">
      <alignment/>
      <protection/>
    </xf>
    <xf numFmtId="3" fontId="52" fillId="32" borderId="11" xfId="56" applyNumberFormat="1" applyFont="1" applyFill="1" applyBorder="1" quotePrefix="1">
      <alignment/>
      <protection/>
    </xf>
    <xf numFmtId="3" fontId="4" fillId="0" borderId="10" xfId="0" applyNumberFormat="1" applyFont="1" applyFill="1" applyBorder="1" applyAlignment="1">
      <alignment/>
    </xf>
    <xf numFmtId="216" fontId="0" fillId="0" borderId="10" xfId="0" applyNumberFormat="1" applyFont="1" applyFill="1" applyBorder="1" applyAlignment="1">
      <alignment/>
    </xf>
    <xf numFmtId="0" fontId="158" fillId="0" borderId="10" xfId="56" applyFont="1" applyFill="1" applyBorder="1">
      <alignment/>
      <protection/>
    </xf>
    <xf numFmtId="3" fontId="158" fillId="0" borderId="27" xfId="56" applyNumberFormat="1" applyFont="1" applyBorder="1">
      <alignment/>
      <protection/>
    </xf>
    <xf numFmtId="1" fontId="158" fillId="0" borderId="14" xfId="56" applyNumberFormat="1" applyFont="1" applyBorder="1">
      <alignment/>
      <protection/>
    </xf>
    <xf numFmtId="0" fontId="151" fillId="36" borderId="144" xfId="56" applyFont="1" applyFill="1" applyBorder="1" applyAlignment="1">
      <alignment horizontal="center"/>
      <protection/>
    </xf>
    <xf numFmtId="0" fontId="151" fillId="36" borderId="145" xfId="56" applyFont="1" applyFill="1" applyBorder="1">
      <alignment/>
      <protection/>
    </xf>
    <xf numFmtId="0" fontId="151" fillId="36" borderId="146" xfId="56" applyFont="1" applyFill="1" applyBorder="1" applyAlignment="1">
      <alignment horizontal="center"/>
      <protection/>
    </xf>
    <xf numFmtId="0" fontId="151" fillId="36" borderId="147" xfId="56" applyFont="1" applyFill="1" applyBorder="1" applyAlignment="1">
      <alignment horizontal="center"/>
      <protection/>
    </xf>
    <xf numFmtId="0" fontId="151" fillId="36" borderId="141" xfId="56" applyFont="1" applyFill="1" applyBorder="1" applyAlignment="1">
      <alignment horizontal="center"/>
      <protection/>
    </xf>
    <xf numFmtId="0" fontId="162" fillId="36" borderId="148" xfId="56" applyFont="1" applyFill="1" applyBorder="1" applyAlignment="1">
      <alignment horizontal="center"/>
      <protection/>
    </xf>
    <xf numFmtId="0" fontId="154" fillId="36" borderId="144" xfId="56" applyFont="1" applyFill="1" applyBorder="1" applyAlignment="1">
      <alignment horizontal="center"/>
      <protection/>
    </xf>
    <xf numFmtId="0" fontId="151" fillId="36" borderId="142" xfId="56" applyFont="1" applyFill="1" applyBorder="1">
      <alignment/>
      <protection/>
    </xf>
    <xf numFmtId="3" fontId="146" fillId="36" borderId="144" xfId="56" applyNumberFormat="1" applyFont="1" applyFill="1" applyBorder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11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aje 4 2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MERCADO ELÉCTRICO
 1 995 -2 012</a:t>
            </a:r>
          </a:p>
        </c:rich>
      </c:tx>
      <c:layout>
        <c:manualLayout>
          <c:xMode val="factor"/>
          <c:yMode val="factor"/>
          <c:x val="-0.02975"/>
          <c:y val="0.003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19725"/>
          <c:w val="0.862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PI-2012'!$R$33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PI-2012'!$Q$34:$Q$51</c:f>
              <c:numCache/>
            </c:numRef>
          </c:cat>
          <c:val>
            <c:numRef>
              <c:f>'10.1 PI-2012'!$R$34:$R$51</c:f>
              <c:numCache/>
            </c:numRef>
          </c:val>
        </c:ser>
        <c:ser>
          <c:idx val="1"/>
          <c:order val="1"/>
          <c:tx>
            <c:strRef>
              <c:f>'10.1 PI-2012'!$S$33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PI-2012'!$Q$34:$Q$51</c:f>
              <c:numCache/>
            </c:numRef>
          </c:cat>
          <c:val>
            <c:numRef>
              <c:f>'10.1 PI-2012'!$S$34:$S$51</c:f>
              <c:numCache/>
            </c:numRef>
          </c:val>
        </c:ser>
        <c:ser>
          <c:idx val="2"/>
          <c:order val="2"/>
          <c:tx>
            <c:strRef>
              <c:f>'10.1 PI-2012'!$T$33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PI-2012'!$Q$34:$Q$51</c:f>
              <c:numCache/>
            </c:numRef>
          </c:cat>
          <c:val>
            <c:numRef>
              <c:f>'10.1 PI-2012'!$T$34:$T$51</c:f>
              <c:numCache/>
            </c:numRef>
          </c:val>
        </c:ser>
        <c:ser>
          <c:idx val="3"/>
          <c:order val="3"/>
          <c:tx>
            <c:strRef>
              <c:f>'10.1 PI-2012'!$U$33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'10.1 PI-2012'!$Q$34:$Q$51</c:f>
              <c:numCache/>
            </c:numRef>
          </c:cat>
          <c:val>
            <c:numRef>
              <c:f>'10.1 PI-2012'!$U$34:$U$51</c:f>
              <c:numCache/>
            </c:numRef>
          </c:val>
        </c:ser>
        <c:axId val="66878950"/>
        <c:axId val="65039639"/>
      </c:bar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78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125"/>
          <c:y val="0.85875"/>
          <c:w val="0.3075"/>
          <c:h val="0.1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USO PROPIO 1 995 - 2 012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8075"/>
          <c:w val="0.9437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Prod'!$S$73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Prod'!$R$74:$R$91</c:f>
              <c:numCache/>
            </c:numRef>
          </c:cat>
          <c:val>
            <c:numRef>
              <c:f>'10.4 Prod'!$S$74:$S$91</c:f>
              <c:numCache/>
            </c:numRef>
          </c:val>
        </c:ser>
        <c:ser>
          <c:idx val="1"/>
          <c:order val="1"/>
          <c:tx>
            <c:strRef>
              <c:f>'10.4 Prod'!$T$73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Prod'!$R$74:$R$91</c:f>
              <c:numCache/>
            </c:numRef>
          </c:cat>
          <c:val>
            <c:numRef>
              <c:f>'10.4 Prod'!$T$74:$T$91</c:f>
              <c:numCache/>
            </c:numRef>
          </c:val>
        </c:ser>
        <c:axId val="20637088"/>
        <c:axId val="51516065"/>
      </c:area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088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LONGITUD TOTAL DE LÍNEAS DE TRANSMISIÓN A NIVEL NACIONAL
1995 - 2012</a:t>
            </a:r>
          </a:p>
        </c:rich>
      </c:tx>
      <c:layout>
        <c:manualLayout>
          <c:xMode val="factor"/>
          <c:yMode val="factor"/>
          <c:x val="-0.045"/>
          <c:y val="-0.009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525"/>
          <c:y val="0.22275"/>
          <c:w val="0.89725"/>
          <c:h val="0.65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LINEAS'!$M$14</c:f>
              <c:strCache>
                <c:ptCount val="1"/>
                <c:pt idx="0">
                  <c:v>500</c:v>
                </c:pt>
              </c:strCache>
            </c:strRef>
          </c:tx>
          <c:spPr>
            <a:gradFill rotWithShape="1">
              <a:gsLst>
                <a:gs pos="0">
                  <a:srgbClr val="3B0F2C"/>
                </a:gs>
                <a:gs pos="50000">
                  <a:srgbClr val="802060"/>
                </a:gs>
                <a:gs pos="100000">
                  <a:srgbClr val="3B0F2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LINEAS'!$M$15:$M$32</c:f>
              <c:numCache/>
            </c:numRef>
          </c:val>
        </c:ser>
        <c:ser>
          <c:idx val="2"/>
          <c:order val="1"/>
          <c:tx>
            <c:strRef>
              <c:f>'10.5 LINEAS'!$N$14</c:f>
              <c:strCache>
                <c:ptCount val="1"/>
                <c:pt idx="0">
                  <c:v>220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LINEAS'!$N$15:$N$32</c:f>
              <c:numCache/>
            </c:numRef>
          </c:val>
        </c:ser>
        <c:ser>
          <c:idx val="3"/>
          <c:order val="2"/>
          <c:tx>
            <c:strRef>
              <c:f>'10.5 LINEAS'!$O$14</c:f>
              <c:strCache>
                <c:ptCount val="1"/>
                <c:pt idx="0">
                  <c:v>138</c:v>
                </c:pt>
              </c:strCache>
            </c:strRef>
          </c:tx>
          <c:spPr>
            <a:gradFill rotWithShape="1">
              <a:gsLst>
                <a:gs pos="0">
                  <a:srgbClr val="4D5D6F"/>
                </a:gs>
                <a:gs pos="50000">
                  <a:srgbClr val="A6CAF0"/>
                </a:gs>
                <a:gs pos="100000">
                  <a:srgbClr val="4D5D6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LINEAS'!$O$15:$O$32</c:f>
              <c:numCache/>
            </c:numRef>
          </c:val>
        </c:ser>
        <c:ser>
          <c:idx val="4"/>
          <c:order val="3"/>
          <c:tx>
            <c:strRef>
              <c:f>'10.5 LINEAS'!$P$14</c:f>
              <c:strCache>
                <c:ptCount val="1"/>
                <c:pt idx="0">
                  <c:v>60 - 69</c:v>
                </c:pt>
              </c:strCache>
            </c:strRef>
          </c:tx>
          <c:spPr>
            <a:gradFill rotWithShape="1">
              <a:gsLst>
                <a:gs pos="0">
                  <a:srgbClr val="595976"/>
                </a:gs>
                <a:gs pos="50000">
                  <a:srgbClr val="C0C0FF"/>
                </a:gs>
                <a:gs pos="100000">
                  <a:srgbClr val="5959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LINEAS'!$P$15:$P$32</c:f>
              <c:numCache/>
            </c:numRef>
          </c:val>
        </c:ser>
        <c:ser>
          <c:idx val="0"/>
          <c:order val="4"/>
          <c:tx>
            <c:strRef>
              <c:f>'10.5 LINEAS'!$Q$14</c:f>
              <c:strCache>
                <c:ptCount val="1"/>
                <c:pt idx="0">
                  <c:v>30 - 50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'10.5 LINEAS'!$K$15:$K$32</c:f>
              <c:strCache/>
            </c:strRef>
          </c:cat>
          <c:val>
            <c:numRef>
              <c:f>'10.5 LINEAS'!$Q$15:$Q$32</c:f>
              <c:numCache/>
            </c:numRef>
          </c:val>
        </c:ser>
        <c:overlap val="100"/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884"/>
          <c:w val="0.5985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VENTAS DE ENERGÍA ELÉCTRICA  POR TIPO DE MERCADO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1 995 - 2 012</a:t>
            </a:r>
          </a:p>
        </c:rich>
      </c:tx>
      <c:layout>
        <c:manualLayout>
          <c:xMode val="factor"/>
          <c:yMode val="factor"/>
          <c:x val="-0.0165"/>
          <c:y val="-0.013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325"/>
          <c:w val="0.944"/>
          <c:h val="0.763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VENTAS'!$N$15:$N$31</c:f>
              <c:numCache/>
            </c:numRef>
          </c:cat>
          <c:val>
            <c:numRef>
              <c:f>'10.6 VENTAS'!$O$15:$O$31</c:f>
              <c:numCache/>
            </c:numRef>
          </c:val>
        </c:ser>
        <c:ser>
          <c:idx val="1"/>
          <c:order val="1"/>
          <c:tx>
            <c:strRef>
              <c:f>'10.6 VENTAS'!$P$12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VENTAS'!$N$15:$N$31</c:f>
              <c:numCache/>
            </c:numRef>
          </c:cat>
          <c:val>
            <c:numRef>
              <c:f>'10.6 VENTAS'!$P$15:$P$31</c:f>
              <c:numCache/>
            </c:numRef>
          </c:val>
        </c:ser>
        <c:axId val="41356500"/>
        <c:axId val="36664181"/>
      </c:area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500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VENTAS DE ENERGÍA POR TIPO DE EMPRESA
1 995 - 2 012</a:t>
            </a:r>
          </a:p>
        </c:rich>
      </c:tx>
      <c:layout>
        <c:manualLayout>
          <c:xMode val="factor"/>
          <c:yMode val="factor"/>
          <c:x val="0.02575"/>
          <c:y val="0.00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209"/>
          <c:w val="0.89925"/>
          <c:h val="0.753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VENTAS'!$O$40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VENTAS'!$N$43:$N$60</c:f>
              <c:numCache/>
            </c:numRef>
          </c:cat>
          <c:val>
            <c:numRef>
              <c:f>'10.6 VENTAS'!$O$43:$O$60</c:f>
              <c:numCache/>
            </c:numRef>
          </c:val>
        </c:ser>
        <c:ser>
          <c:idx val="1"/>
          <c:order val="1"/>
          <c:tx>
            <c:strRef>
              <c:f>'10.6 VENTAS'!$P$40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VENTAS'!$N$43:$N$60</c:f>
              <c:numCache/>
            </c:numRef>
          </c:cat>
          <c:val>
            <c:numRef>
              <c:f>'10.6 VENTAS'!$P$43:$P$60</c:f>
              <c:numCache/>
            </c:numRef>
          </c:val>
        </c:ser>
        <c:axId val="61542174"/>
        <c:axId val="17008655"/>
      </c:area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2174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FINAL DE ENERGÍA ELÉCTRICA AL MERCADO LIBRE Y REGULADO   
1995 - 2012</a:t>
            </a:r>
          </a:p>
        </c:rich>
      </c:tx>
      <c:layout>
        <c:manualLayout>
          <c:xMode val="factor"/>
          <c:yMode val="factor"/>
          <c:x val="0.013"/>
          <c:y val="-0.008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.186"/>
          <c:w val="0.96025"/>
          <c:h val="0.826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FACTURAC-2012'!$O$39</c:f>
              <c:strCache>
                <c:ptCount val="1"/>
                <c:pt idx="0">
                  <c:v>Regulados</c:v>
                </c:pt>
              </c:strCache>
            </c:strRef>
          </c:tx>
          <c:spPr>
            <a:gradFill rotWithShape="1">
              <a:gsLst>
                <a:gs pos="0">
                  <a:srgbClr val="8FAECF"/>
                </a:gs>
                <a:gs pos="100000">
                  <a:srgbClr val="A6CAF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FACTURAC-2012'!$N$40:$N$57</c:f>
              <c:numCache/>
            </c:numRef>
          </c:cat>
          <c:val>
            <c:numRef>
              <c:f>'10.7 FACTURAC-2012'!$O$40:$O$57</c:f>
              <c:numCache/>
            </c:numRef>
          </c:val>
        </c:ser>
        <c:ser>
          <c:idx val="1"/>
          <c:order val="1"/>
          <c:tx>
            <c:strRef>
              <c:f>'10.7 FACTURAC-2012'!$P$39</c:f>
              <c:strCache>
                <c:ptCount val="1"/>
                <c:pt idx="0">
                  <c:v>Libres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AD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FACTURAC-2012'!$N$40:$N$57</c:f>
              <c:numCache/>
            </c:numRef>
          </c:cat>
          <c:val>
            <c:numRef>
              <c:f>'10.7 FACTURAC-2012'!$P$40:$P$57</c:f>
              <c:numCache/>
            </c:numRef>
          </c:val>
        </c:ser>
        <c:axId val="18860168"/>
        <c:axId val="35523785"/>
      </c:area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5"/>
              <c:y val="0.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DE ENERGÍA SEGÚN TIPO DE EMPRESA
1995 - 2012
</a:t>
            </a:r>
          </a:p>
        </c:rich>
      </c:tx>
      <c:layout>
        <c:manualLayout>
          <c:xMode val="factor"/>
          <c:yMode val="factor"/>
          <c:x val="0.01425"/>
          <c:y val="-0.003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575"/>
          <c:y val="0.14075"/>
          <c:w val="0.9515"/>
          <c:h val="0.8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FACTURAC-2012'!$O$63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FACTURAC-2012'!$N$64:$N$81</c:f>
              <c:numCache/>
            </c:numRef>
          </c:cat>
          <c:val>
            <c:numRef>
              <c:f>'10.7 FACTURAC-2012'!$O$64:$O$81</c:f>
              <c:numCache/>
            </c:numRef>
          </c:val>
        </c:ser>
        <c:ser>
          <c:idx val="1"/>
          <c:order val="1"/>
          <c:tx>
            <c:strRef>
              <c:f>'10.7 FACTURAC-2012'!$P$63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AAD4A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FACTURAC-2012'!$N$64:$N$81</c:f>
              <c:numCache/>
            </c:numRef>
          </c:cat>
          <c:val>
            <c:numRef>
              <c:f>'10.7 FACTURAC-2012'!$P$64:$P$81</c:f>
              <c:numCache/>
            </c:numRef>
          </c:val>
        </c:ser>
        <c:axId val="51278610"/>
        <c:axId val="58854307"/>
      </c:area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At val="1"/>
        <c:crossBetween val="midCat"/>
        <c:dispUnits/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ELÉCTRICA AL MERCADO LIBRE Y REGULADO 1995 - 2012</a:t>
            </a:r>
          </a:p>
        </c:rich>
      </c:tx>
      <c:layout>
        <c:manualLayout>
          <c:xMode val="factor"/>
          <c:yMode val="factor"/>
          <c:x val="0.02925"/>
          <c:y val="-0.018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325"/>
          <c:y val="0.1325"/>
          <c:w val="0.845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MEDIO'!$N$14:$N$31</c:f>
              <c:numCache/>
            </c:numRef>
          </c:cat>
          <c:val>
            <c:numRef>
              <c:f>'10.8 PRECIO MEDIO'!$O$14:$O$31</c:f>
              <c:numCache/>
            </c:numRef>
          </c:val>
        </c:ser>
        <c:ser>
          <c:idx val="1"/>
          <c:order val="1"/>
          <c:tx>
            <c:strRef>
              <c:f>'10.8 PRECIO MEDIO'!$P$12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MEDIO'!$N$14:$N$31</c:f>
              <c:numCache/>
            </c:numRef>
          </c:cat>
          <c:val>
            <c:numRef>
              <c:f>'10.8 PRECIO MEDIO'!$P$14:$P$31</c:f>
              <c:numCache/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4"/>
          <c:y val="0.89775"/>
          <c:w val="0.206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POR TIPO DE EMPRESA
1995 - 2012</a:t>
            </a:r>
          </a:p>
        </c:rich>
      </c:tx>
      <c:layout>
        <c:manualLayout>
          <c:xMode val="factor"/>
          <c:yMode val="factor"/>
          <c:x val="0.05875"/>
          <c:y val="-0.003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3125"/>
          <c:y val="0.19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MEDIO'!$O$39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MEDIO'!$N$42:$N$59</c:f>
              <c:numCache/>
            </c:numRef>
          </c:cat>
          <c:val>
            <c:numRef>
              <c:f>'10.8 PRECIO MEDIO'!$O$42:$O$59</c:f>
              <c:numCache/>
            </c:numRef>
          </c:val>
        </c:ser>
        <c:ser>
          <c:idx val="1"/>
          <c:order val="1"/>
          <c:tx>
            <c:strRef>
              <c:f>'10.8 PRECIO MEDIO'!$P$39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'10.8 PRECIO MEDIO'!$N$42:$N$59</c:f>
              <c:numCache/>
            </c:numRef>
          </c:cat>
          <c:val>
            <c:numRef>
              <c:f>'10.8 PRECIO MEDIO'!$P$42:$P$59</c:f>
              <c:numCache/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5798"/>
        <c:crossesAt val="1"/>
        <c:crossBetween val="between"/>
        <c:dispUnits/>
        <c:majorUnit val="3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755"/>
          <c:w val="0.35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VENTAS POR SECTOR ECONÓMICO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solidFill>
          <a:srgbClr val="00008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5"/>
          <c:y val="0.0745"/>
          <c:w val="0.903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'10.9 VENTAS-CIIU-2012'!$O$56</c:f>
              <c:strCache>
                <c:ptCount val="1"/>
                <c:pt idx="0">
                  <c:v>Industrial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VENTAS-CIIU-2012'!$P$56:$AJ$56</c:f>
              <c:numCache/>
            </c:numRef>
          </c:val>
          <c:smooth val="0"/>
        </c:ser>
        <c:ser>
          <c:idx val="1"/>
          <c:order val="1"/>
          <c:tx>
            <c:strRef>
              <c:f>'10.9 VENTAS-CIIU-2012'!$O$57</c:f>
              <c:strCache>
                <c:ptCount val="1"/>
                <c:pt idx="0">
                  <c:v>Comercial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VENTAS-CIIU-2012'!$P$57:$AJ$57</c:f>
              <c:numCache/>
            </c:numRef>
          </c:val>
          <c:smooth val="0"/>
        </c:ser>
        <c:ser>
          <c:idx val="2"/>
          <c:order val="2"/>
          <c:tx>
            <c:strRef>
              <c:f>'10.9 VENTAS-CIIU-2012'!$O$58</c:f>
              <c:strCache>
                <c:ptCount val="1"/>
                <c:pt idx="0">
                  <c:v>Residencial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VENTAS-CIIU-2012'!$P$58:$AJ$58</c:f>
              <c:numCache/>
            </c:numRef>
          </c:val>
          <c:smooth val="0"/>
        </c:ser>
        <c:ser>
          <c:idx val="3"/>
          <c:order val="3"/>
          <c:tx>
            <c:strRef>
              <c:f>'10.9 VENTAS-CIIU-2012'!$O$59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'10.9 VENTAS-CIIU-2012'!$P$55:$AJ$55</c:f>
              <c:numCache/>
            </c:numRef>
          </c:cat>
          <c:val>
            <c:numRef>
              <c:f>'10.9 VENTAS-CIIU-2012'!$P$59:$AJ$59</c:f>
              <c:numCache/>
            </c:numRef>
          </c:val>
          <c:smooth val="0"/>
        </c:ser>
        <c:marker val="1"/>
        <c:axId val="55459184"/>
        <c:axId val="29370609"/>
      </c:lineChart>
      <c:catAx>
        <c:axId val="5545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9184"/>
        <c:crossesAt val="1"/>
        <c:crossBetween val="between"/>
        <c:dispUnits/>
        <c:majorUnit val="2000"/>
        <c:minorUnit val="4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9185"/>
          <c:w val="0.774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POR SECTORES DE CONSUMO  1995 - 2012</a:t>
            </a:r>
          </a:p>
        </c:rich>
      </c:tx>
      <c:layout>
        <c:manualLayout>
          <c:xMode val="factor"/>
          <c:yMode val="factor"/>
          <c:x val="0.034"/>
          <c:y val="-0.018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1065"/>
          <c:w val="0.966"/>
          <c:h val="0.84525"/>
        </c:manualLayout>
      </c:layout>
      <c:areaChart>
        <c:grouping val="stacked"/>
        <c:varyColors val="0"/>
        <c:ser>
          <c:idx val="0"/>
          <c:order val="0"/>
          <c:tx>
            <c:strRef>
              <c:f>'10.10 FACT-SECTOR'!$B$6:$B$7</c:f>
              <c:strCache>
                <c:ptCount val="1"/>
                <c:pt idx="0">
                  <c:v>Industrial</c:v>
                </c:pt>
              </c:strCache>
            </c:strRef>
          </c:tx>
          <c:spPr>
            <a:gradFill rotWithShape="1">
              <a:gsLst>
                <a:gs pos="0">
                  <a:srgbClr val="A96587"/>
                </a:gs>
                <a:gs pos="50000">
                  <a:srgbClr val="FF99CC"/>
                </a:gs>
                <a:gs pos="100000">
                  <a:srgbClr val="A9658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FACT-SECTOR'!$B$8:$B$25</c:f>
              <c:numCache/>
            </c:numRef>
          </c:val>
        </c:ser>
        <c:ser>
          <c:idx val="1"/>
          <c:order val="1"/>
          <c:tx>
            <c:strRef>
              <c:f>'10.10 FACT-SECTOR'!$C$6:$C$7</c:f>
              <c:strCache>
                <c:ptCount val="1"/>
                <c:pt idx="0">
                  <c:v>Comercial</c:v>
                </c:pt>
              </c:strCache>
            </c:strRef>
          </c:tx>
          <c:spPr>
            <a:gradFill rotWithShape="1">
              <a:gsLst>
                <a:gs pos="0">
                  <a:srgbClr val="728F72"/>
                </a:gs>
                <a:gs pos="50000">
                  <a:srgbClr val="CCFFCC"/>
                </a:gs>
                <a:gs pos="100000">
                  <a:srgbClr val="728F7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FACT-SECTOR'!$C$8:$C$25</c:f>
              <c:numCache/>
            </c:numRef>
          </c:val>
        </c:ser>
        <c:ser>
          <c:idx val="2"/>
          <c:order val="2"/>
          <c:tx>
            <c:strRef>
              <c:f>'10.10 FACT-SECTOR'!$D$6:$D$7</c:f>
              <c:strCache>
                <c:ptCount val="1"/>
                <c:pt idx="0">
                  <c:v>Residencial</c:v>
                </c:pt>
              </c:strCache>
            </c:strRef>
          </c:tx>
          <c:spPr>
            <a:gradFill rotWithShape="1">
              <a:gsLst>
                <a:gs pos="0">
                  <a:srgbClr val="6587A9"/>
                </a:gs>
                <a:gs pos="50000">
                  <a:srgbClr val="99CCFF"/>
                </a:gs>
                <a:gs pos="100000">
                  <a:srgbClr val="6587A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FACT-SECTOR'!$D$8:$D$25</c:f>
              <c:numCache/>
            </c:numRef>
          </c:val>
        </c:ser>
        <c:ser>
          <c:idx val="3"/>
          <c:order val="3"/>
          <c:tx>
            <c:strRef>
              <c:f>'10.10 FACT-SECTOR'!$E$6:$E$7</c:f>
              <c:strCache>
                <c:ptCount val="1"/>
                <c:pt idx="0">
                  <c:v>Alumbrado Público</c:v>
                </c:pt>
              </c:strCache>
            </c:strRef>
          </c:tx>
          <c:spPr>
            <a:gradFill rotWithShape="1">
              <a:gsLst>
                <a:gs pos="0">
                  <a:srgbClr val="A9A900"/>
                </a:gs>
                <a:gs pos="50000">
                  <a:srgbClr val="FFFF00"/>
                </a:gs>
                <a:gs pos="100000">
                  <a:srgbClr val="A9A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FACT-SECTOR'!$A$8:$A$25</c:f>
              <c:numCache/>
            </c:numRef>
          </c:cat>
          <c:val>
            <c:numRef>
              <c:f>'10.10 FACT-SECTOR'!$E$8:$E$25</c:f>
              <c:numCache/>
            </c:numRef>
          </c:val>
        </c:ser>
        <c:axId val="63008890"/>
        <c:axId val="30209099"/>
      </c:areaChart>
      <c:catAx>
        <c:axId val="63008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8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USO PROPIO 
1 995 - 2 012</a:t>
            </a:r>
          </a:p>
        </c:rich>
      </c:tx>
      <c:layout>
        <c:manualLayout>
          <c:xMode val="factor"/>
          <c:yMode val="factor"/>
          <c:x val="-0.00925"/>
          <c:y val="0.006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19275"/>
          <c:w val="0.872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PI-2012'!$R$56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PI-2012'!$Q$57:$Q$74</c:f>
              <c:numCache/>
            </c:numRef>
          </c:cat>
          <c:val>
            <c:numRef>
              <c:f>'10.1 PI-2012'!$R$57:$R$74</c:f>
              <c:numCache/>
            </c:numRef>
          </c:val>
        </c:ser>
        <c:ser>
          <c:idx val="1"/>
          <c:order val="1"/>
          <c:tx>
            <c:strRef>
              <c:f>'10.1 PI-2012'!$S$56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PI-2012'!$Q$57:$Q$74</c:f>
              <c:numCache/>
            </c:numRef>
          </c:cat>
          <c:val>
            <c:numRef>
              <c:f>'10.1 PI-2012'!$S$57:$S$74</c:f>
              <c:numCache/>
            </c:numRef>
          </c:val>
        </c:ser>
        <c:ser>
          <c:idx val="2"/>
          <c:order val="2"/>
          <c:tx>
            <c:strRef>
              <c:f>'10.1 PI-2012'!$T$56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PI-2012'!$Q$57:$Q$74</c:f>
              <c:numCache/>
            </c:numRef>
          </c:cat>
          <c:val>
            <c:numRef>
              <c:f>'10.1 PI-2012'!$T$57:$T$74</c:f>
              <c:numCache/>
            </c:numRef>
          </c:val>
        </c:ser>
        <c:axId val="48485840"/>
        <c:axId val="33719377"/>
      </c:bar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5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88775"/>
          <c:w val="0.352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PRECIO MEDIO DE ENERGÍA ELÉCTRICA POR SECTORES ECONÓMICOS  1 995 - 2 012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375"/>
          <c:y val="0.1235"/>
          <c:w val="0.953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'10.11 PM-SECTOR'!$B$6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6CAF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PM-SECTOR'!$B$9:$B$26</c:f>
              <c:numCache/>
            </c:numRef>
          </c:val>
          <c:smooth val="0"/>
        </c:ser>
        <c:ser>
          <c:idx val="1"/>
          <c:order val="1"/>
          <c:tx>
            <c:strRef>
              <c:f>'10.11 PM-SECTOR'!$C$6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PM-SECTOR'!$C$9:$C$26</c:f>
              <c:numCache/>
            </c:numRef>
          </c:val>
          <c:smooth val="0"/>
        </c:ser>
        <c:ser>
          <c:idx val="2"/>
          <c:order val="2"/>
          <c:tx>
            <c:strRef>
              <c:f>'10.11 PM-SECTOR'!$D$6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PM-SECTOR'!$D$9:$D$26</c:f>
              <c:numCache/>
            </c:numRef>
          </c:val>
          <c:smooth val="0"/>
        </c:ser>
        <c:ser>
          <c:idx val="3"/>
          <c:order val="3"/>
          <c:tx>
            <c:strRef>
              <c:f>'10.11 PM-SECTOR'!$E$6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PM-SECTOR'!$A$9:$A$26</c:f>
              <c:numCache/>
            </c:numRef>
          </c:cat>
          <c:val>
            <c:numRef>
              <c:f>'10.11 PM-SECTOR'!$E$9:$E$26</c:f>
              <c:numCache/>
            </c:numRef>
          </c:val>
          <c:smooth val="0"/>
        </c:ser>
        <c:marker val="1"/>
        <c:axId val="3446436"/>
        <c:axId val="31017925"/>
      </c:line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940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POR TIPO DE EMPRESA
1995 - 2012</a:t>
            </a:r>
          </a:p>
        </c:rich>
      </c:tx>
      <c:layout>
        <c:manualLayout>
          <c:xMode val="factor"/>
          <c:yMode val="factor"/>
          <c:x val="0.052"/>
          <c:y val="-0.00825"/>
        </c:manualLayout>
      </c:layout>
      <c:spPr>
        <a:solidFill>
          <a:srgbClr val="003366"/>
        </a:solidFill>
        <a:ln w="3175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4075"/>
          <c:y val="0.115"/>
          <c:w val="0.917"/>
          <c:h val="0.75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'!$C$8:$C$25</c:f>
              <c:numCache/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'!$E$8:$E$25</c:f>
              <c:numCache/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'!$F$8:$F$25</c:f>
              <c:numCache/>
            </c:numRef>
          </c:val>
          <c:smooth val="0"/>
        </c:ser>
        <c:ser>
          <c:idx val="3"/>
          <c:order val="3"/>
          <c:tx>
            <c:strRef>
              <c:f>'10.12 CONSUMO_2012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'10.12 CONSUMO_2012 '!$B$8:$B$25</c:f>
              <c:numCache/>
            </c:numRef>
          </c:cat>
          <c:val>
            <c:numRef>
              <c:f>'10.12 CONSUMO_2012 '!$G$8:$G$25</c:f>
              <c:numCache/>
            </c:numRef>
          </c:val>
          <c:smooth val="0"/>
        </c:ser>
        <c:marker val="1"/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58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905"/>
          <c:w val="0.636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TIPO DE  SERVICIO
1995 - 2012</a:t>
            </a:r>
          </a:p>
        </c:rich>
      </c:tx>
      <c:layout>
        <c:manualLayout>
          <c:xMode val="factor"/>
          <c:yMode val="factor"/>
          <c:x val="0.039"/>
          <c:y val="-0.01"/>
        </c:manualLayout>
      </c:layout>
      <c:spPr>
        <a:solidFill>
          <a:srgbClr val="17375E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2725"/>
          <c:w val="0.93325"/>
          <c:h val="0.808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CONSUMO_2012 '!$D$6:$F$6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CONSUMO_2012 '!$B$8:$B$25</c:f>
              <c:numCache/>
            </c:numRef>
          </c:cat>
          <c:val>
            <c:numRef>
              <c:f>'10.12 CONSUMO_2012 '!$D$8:$D$25</c:f>
              <c:numCache/>
            </c:numRef>
          </c:val>
        </c:ser>
        <c:ser>
          <c:idx val="3"/>
          <c:order val="1"/>
          <c:tx>
            <c:strRef>
              <c:f>'10.12 CONSUMO_2012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CONSUMO_2012 '!$B$8:$B$25</c:f>
              <c:numCache/>
            </c:numRef>
          </c:cat>
          <c:val>
            <c:numRef>
              <c:f>'10.12 CONSUMO_2012 '!$G$8:$G$25</c:f>
              <c:numCache/>
            </c:numRef>
          </c:val>
        </c:ser>
        <c:axId val="63489112"/>
        <c:axId val="34531097"/>
      </c:area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1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75"/>
          <c:y val="0.9375"/>
          <c:w val="0.565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LIBRE </a:t>
            </a:r>
          </a:p>
        </c:rich>
      </c:tx>
      <c:layout>
        <c:manualLayout>
          <c:xMode val="factor"/>
          <c:yMode val="factor"/>
          <c:x val="-0.03025"/>
          <c:y val="-0.006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1"/>
      <c:hPercent val="38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1875"/>
          <c:w val="0.9775"/>
          <c:h val="0.7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CLIENTES-2012'!$AD$39</c:f>
              <c:strCache>
                <c:ptCount val="1"/>
                <c:pt idx="0">
                  <c:v>MAT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CLIENTES-2012'!$AD$40:$AD$54</c:f>
              <c:numCache/>
            </c:numRef>
          </c:val>
          <c:shape val="box"/>
        </c:ser>
        <c:ser>
          <c:idx val="1"/>
          <c:order val="1"/>
          <c:tx>
            <c:strRef>
              <c:f>'10.13 CLIENTES-2012'!$AE$39</c:f>
              <c:strCache>
                <c:ptCount val="1"/>
                <c:pt idx="0">
                  <c:v>AT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CLIENTES-2012'!$AE$40:$AE$54</c:f>
              <c:numCache/>
            </c:numRef>
          </c:val>
          <c:shape val="box"/>
        </c:ser>
        <c:ser>
          <c:idx val="2"/>
          <c:order val="2"/>
          <c:tx>
            <c:strRef>
              <c:f>'10.13 CLIENTES-2012'!$AF$39</c:f>
              <c:strCache>
                <c:ptCount val="1"/>
                <c:pt idx="0">
                  <c:v>MT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CLIENTES-2012'!$AF$40:$AF$54</c:f>
              <c:numCache/>
            </c:numRef>
          </c:val>
          <c:shape val="box"/>
        </c:ser>
        <c:shape val="box"/>
        <c:axId val="42344418"/>
        <c:axId val="45555443"/>
      </c:bar3DChart>
      <c:catAx>
        <c:axId val="423444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441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025"/>
          <c:w val="0.299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REGULADO </a:t>
            </a:r>
          </a:p>
        </c:rich>
      </c:tx>
      <c:layout>
        <c:manualLayout>
          <c:xMode val="factor"/>
          <c:yMode val="factor"/>
          <c:x val="0.0145"/>
          <c:y val="-0.00325"/>
        </c:manualLayout>
      </c:layout>
      <c:spPr>
        <a:solidFill>
          <a:srgbClr val="000080"/>
        </a:solidFill>
        <a:ln w="3175">
          <a:solidFill>
            <a:srgbClr val="000080"/>
          </a:solidFill>
        </a:ln>
      </c:spPr>
    </c:title>
    <c:view3D>
      <c:rotX val="0"/>
      <c:hPercent val="37"/>
      <c:rotY val="0"/>
      <c:depthPercent val="100"/>
      <c:rAngAx val="1"/>
    </c:view3D>
    <c:plotArea>
      <c:layout>
        <c:manualLayout>
          <c:xMode val="edge"/>
          <c:yMode val="edge"/>
          <c:x val="0.0035"/>
          <c:y val="0.14075"/>
          <c:w val="0.99475"/>
          <c:h val="0.859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CLIENTES-2012'!$AM$39</c:f>
              <c:strCache>
                <c:ptCount val="1"/>
                <c:pt idx="0">
                  <c:v>BT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CLIENTES-2012'!$AC$40:$AC$54</c:f>
              <c:numCache/>
            </c:numRef>
          </c:cat>
          <c:val>
            <c:numRef>
              <c:f>'10.13 CLIENTES-2012'!$AM$40:$AM$54</c:f>
              <c:numCache/>
            </c:numRef>
          </c:val>
          <c:shape val="box"/>
        </c:ser>
        <c:gapWidth val="180"/>
        <c:shape val="box"/>
        <c:axId val="7345804"/>
        <c:axId val="66112237"/>
      </c:bar3DChart>
      <c:catAx>
        <c:axId val="73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BAJA TENSIÓN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  <c:max val="6000000"/>
          <c:min val="0"/>
        </c:scaling>
        <c:axPos val="l"/>
        <c:title>
          <c:tx>
            <c:rich>
              <a:bodyPr vert="horz" rot="-534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5804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PÉRDIDAS DE ENERGÍA ELÉCTRICA EN  DISTRIBUCIÓN (%)
</a:t>
            </a:r>
          </a:p>
        </c:rich>
      </c:tx>
      <c:layout>
        <c:manualLayout>
          <c:xMode val="factor"/>
          <c:yMode val="factor"/>
          <c:x val="0.028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5"/>
          <c:w val="0.93075"/>
          <c:h val="0.753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10.16'!$A$37:$A$55</c:f>
              <c:numCache/>
            </c:numRef>
          </c:cat>
          <c:val>
            <c:numRef>
              <c:f>'10.14 -10.15  y 10.16'!$B$37:$B$55</c:f>
              <c:numCache/>
            </c:numRef>
          </c:val>
          <c:smooth val="0"/>
        </c:ser>
        <c:marker val="1"/>
        <c:axId val="58139222"/>
        <c:axId val="53490951"/>
      </c:line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490951"/>
        <c:crossesAt val="0"/>
        <c:auto val="1"/>
        <c:lblOffset val="100"/>
        <c:tickLblSkip val="1"/>
        <c:noMultiLvlLbl val="0"/>
      </c:catAx>
      <c:valAx>
        <c:axId val="5349095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139222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MÁXIMA DEMANDA</a:t>
            </a:r>
          </a:p>
        </c:rich>
      </c:tx>
      <c:layout>
        <c:manualLayout>
          <c:xMode val="factor"/>
          <c:yMode val="factor"/>
          <c:x val="0.035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05"/>
          <c:w val="0.927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'10.14 -10.15  y 10.16'!$A$66:$C$66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'10.14 -10.15  y 10.16'!$A$68:$A$85</c:f>
              <c:strCache/>
            </c:strRef>
          </c:cat>
          <c:val>
            <c:numRef>
              <c:f>'10.14 -10.15  y 10.16'!$B$68:$B$85</c:f>
              <c:numCache/>
            </c:numRef>
          </c:val>
          <c:smooth val="0"/>
        </c:ser>
        <c:marker val="1"/>
        <c:axId val="11656512"/>
        <c:axId val="37799745"/>
      </c:line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9745"/>
        <c:crossesAt val="0"/>
        <c:auto val="1"/>
        <c:lblOffset val="100"/>
        <c:tickLblSkip val="1"/>
        <c:noMultiLvlLbl val="0"/>
      </c:catAx>
      <c:valAx>
        <c:axId val="37799745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(MW)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6512"/>
        <c:crossesAt val="1"/>
        <c:crossBetween val="midCat"/>
        <c:dispUnits/>
        <c:majorUnit val="500"/>
        <c:min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NÚMERO DE TRABAJADORES POR ACTIVIDAD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5925"/>
          <c:w val="0.9195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'10.14 -10.15  y 10.16'!$B$7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10.16'!$B$8:$B$25</c:f>
              <c:numCache/>
            </c:numRef>
          </c:val>
          <c:smooth val="0"/>
        </c:ser>
        <c:ser>
          <c:idx val="1"/>
          <c:order val="1"/>
          <c:tx>
            <c:strRef>
              <c:f>'10.14 -10.15  y 10.16'!$C$7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10.16'!$C$8:$C$25</c:f>
              <c:numCache/>
            </c:numRef>
          </c:val>
          <c:smooth val="0"/>
        </c:ser>
        <c:ser>
          <c:idx val="2"/>
          <c:order val="2"/>
          <c:tx>
            <c:strRef>
              <c:f>'10.14 -10.15  y 10.16'!$D$7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10.16'!$D$8:$D$25</c:f>
              <c:numCache/>
            </c:numRef>
          </c:val>
          <c:smooth val="0"/>
        </c:ser>
        <c:ser>
          <c:idx val="3"/>
          <c:order val="3"/>
          <c:tx>
            <c:strRef>
              <c:f>'10.14 -10.15  y 10.16'!$E$7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10.16'!$A$8:$A$25</c:f>
              <c:numCache/>
            </c:numRef>
          </c:cat>
          <c:val>
            <c:numRef>
              <c:f>'10.14 -10.15  y 10.16'!$E$8:$E$25</c:f>
              <c:numCache/>
            </c:numRef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386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922"/>
          <c:w val="0.72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EN EL SECTOR ELÉCTRICO
(ESTATAL, PRIVADA Y ELECTRIFICACIÓN RURAL)
PERÍODO 1990 - 2012</a:t>
            </a:r>
          </a:p>
        </c:rich>
      </c:tx>
      <c:layout>
        <c:manualLayout>
          <c:xMode val="factor"/>
          <c:yMode val="factor"/>
          <c:x val="-0.011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27"/>
          <c:w val="0.9315"/>
          <c:h val="0.772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Evo.Graficos'!$B$17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Evo.Graficos'!$C$17:$Y$17</c:f>
              <c:numCache/>
            </c:numRef>
          </c:val>
          <c:smooth val="0"/>
        </c:ser>
        <c:ser>
          <c:idx val="3"/>
          <c:order val="1"/>
          <c:tx>
            <c:strRef>
              <c:f>'10.17.4 Evo.Graficos'!$B$18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Evo.Graficos'!$C$18:$Y$18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Evo.Graficos'!$C$19:$Y$19</c:f>
              <c:numCache/>
            </c:numRef>
          </c:val>
          <c:smooth val="0"/>
        </c:ser>
        <c:ser>
          <c:idx val="4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Evo.Graficos'!$C$10:$Y$10</c:f>
              <c:numCache/>
            </c:numRef>
          </c:val>
          <c:smooth val="0"/>
        </c:ser>
        <c:marker val="1"/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9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5"/>
          <c:y val="0.93125"/>
          <c:w val="0.497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EJECUTADAS 
POR LA DIRECCIÓN GENERAL DE ELECTRIFICACIÓN RURAL
PERÍODO 1990 - 2012</a:t>
            </a:r>
          </a:p>
        </c:rich>
      </c:tx>
      <c:layout>
        <c:manualLayout>
          <c:xMode val="factor"/>
          <c:yMode val="factor"/>
          <c:x val="-0.015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57"/>
          <c:w val="0.91575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'10.17.4 Evo.Graficos'!$B$19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'10.17.4 Evo.Graficos'!$C$16:$Y$16</c:f>
              <c:numCache/>
            </c:numRef>
          </c:cat>
          <c:val>
            <c:numRef>
              <c:f>'10.17.4 Evo.Graficos'!$C$19:$Y$19</c:f>
              <c:numCache/>
            </c:numRef>
          </c:val>
        </c:ser>
        <c:axId val="63442110"/>
        <c:axId val="34108079"/>
      </c:bar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US$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42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POTENCIA INSTALADA 1 995 - 2 012</a:t>
            </a:r>
          </a:p>
        </c:rich>
      </c:tx>
      <c:layout>
        <c:manualLayout>
          <c:xMode val="factor"/>
          <c:yMode val="factor"/>
          <c:x val="-0.03575"/>
          <c:y val="0.06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99"/>
          <c:w val="0.861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PI-2012'!$R$6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PI-2012'!$Q$7:$Q$24</c:f>
              <c:numCache/>
            </c:numRef>
          </c:cat>
          <c:val>
            <c:numRef>
              <c:f>'10.1 PI-2012'!$R$7:$R$24</c:f>
              <c:numCache/>
            </c:numRef>
          </c:val>
        </c:ser>
        <c:ser>
          <c:idx val="1"/>
          <c:order val="1"/>
          <c:tx>
            <c:strRef>
              <c:f>'10.1 PI-2012'!$S$6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PI-2012'!$Q$7:$Q$24</c:f>
              <c:numCache/>
            </c:numRef>
          </c:cat>
          <c:val>
            <c:numRef>
              <c:f>'10.1 PI-2012'!$S$7:$S$24</c:f>
              <c:numCache/>
            </c:numRef>
          </c:val>
        </c:ser>
        <c:ser>
          <c:idx val="2"/>
          <c:order val="2"/>
          <c:tx>
            <c:strRef>
              <c:f>'10.1 PI-2012'!$T$6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PI-2012'!$Q$7:$Q$24</c:f>
              <c:numCache/>
            </c:numRef>
          </c:cat>
          <c:val>
            <c:numRef>
              <c:f>'10.1 PI-2012'!$T$7:$T$24</c:f>
              <c:numCache/>
            </c:numRef>
          </c:val>
        </c:ser>
        <c:axId val="35038938"/>
        <c:axId val="46914987"/>
      </c:bar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8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"/>
          <c:y val="0.842"/>
          <c:w val="0.3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DE LAS EMPRESAS GENERADORAS
PERÍODO 1990 - 2012</a:t>
            </a:r>
          </a:p>
        </c:rich>
      </c:tx>
      <c:layout>
        <c:manualLayout>
          <c:xMode val="factor"/>
          <c:yMode val="factor"/>
          <c:x val="-0.0257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4525"/>
          <c:w val="0.89525"/>
          <c:h val="0.7177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Evo.Graficos'!$AE$6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Evo.Graficos'!$AF$5:$BB$5</c:f>
              <c:numCache/>
            </c:numRef>
          </c:cat>
          <c:val>
            <c:numRef>
              <c:f>'10.17.4 Evo.Graficos'!$AF$6:$BB$6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Evo.Graficos'!$AE$7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Evo.Graficos'!$AF$5:$BB$5</c:f>
              <c:numCache/>
            </c:numRef>
          </c:cat>
          <c:val>
            <c:numRef>
              <c:f>'10.17.4 Evo.Graficos'!$AF$7:$BB$7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Evo.Graficos'!$AE$8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Evo.Graficos'!$AF$5:$BB$5</c:f>
              <c:numCache/>
            </c:numRef>
          </c:cat>
          <c:val>
            <c:numRef>
              <c:f>'10.17.4 Evo.Graficos'!$AF$8:$BB$8</c:f>
              <c:numCache/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7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75"/>
          <c:y val="0.89525"/>
          <c:w val="0.371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INVERSION HISTORICA EJECUTADA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1990 - 2012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25"/>
          <c:y val="0.33925"/>
          <c:w val="0.372"/>
          <c:h val="0.48125"/>
        </c:manualLayout>
      </c:layout>
      <c:pie3DChart>
        <c:varyColors val="1"/>
        <c:ser>
          <c:idx val="0"/>
          <c:order val="0"/>
          <c:tx>
            <c:strRef>
              <c:f>'10.17.4 Evo.Graficos'!$Z$16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'10.17.4 Evo.Graficos'!$B$17:$B$19</c:f>
              <c:strCache/>
            </c:strRef>
          </c:cat>
          <c:val>
            <c:numRef>
              <c:f>'10.17.4 Evo.Graficos'!$Z$17:$Z$19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LAS INVERSIONES DE LAS EMPRESAS DISTRIBUIDORAS
PERÍODO 1990 - 2012</a:t>
            </a:r>
          </a:p>
        </c:rich>
      </c:tx>
      <c:layout>
        <c:manualLayout>
          <c:xMode val="factor"/>
          <c:yMode val="factor"/>
          <c:x val="0.01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3"/>
          <c:w val="0.89075"/>
          <c:h val="0.7362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Evo.Graficos'!$AE$27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Evo.Graficos'!$AF$26:$BB$26</c:f>
              <c:numCache/>
            </c:numRef>
          </c:cat>
          <c:val>
            <c:numRef>
              <c:f>'10.17.4 Evo.Graficos'!$AF$27:$BB$27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Evo.Graficos'!$AE$28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Evo.Graficos'!$AF$26:$BB$26</c:f>
              <c:numCache/>
            </c:numRef>
          </c:cat>
          <c:val>
            <c:numRef>
              <c:f>'10.17.4 Evo.Graficos'!$AF$28:$BB$28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Evo.Graficos'!$AE$29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Evo.Graficos'!$AF$26:$BB$26</c:f>
              <c:numCache/>
            </c:numRef>
          </c:cat>
          <c:val>
            <c:numRef>
              <c:f>'10.17.4 Evo.Graficos'!$AF$29:$BB$29</c:f>
              <c:numCache/>
            </c:numRef>
          </c:val>
          <c:smooth val="0"/>
        </c:ser>
        <c:marker val="1"/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"/>
          <c:y val="0.8955"/>
          <c:w val="0.37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 LAS INVERSIONES DE LAS EMPRESAS TRANSMISORAS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PERÍODO 1990 - 2012</a:t>
            </a:r>
          </a:p>
        </c:rich>
      </c:tx>
      <c:layout>
        <c:manualLayout>
          <c:xMode val="factor"/>
          <c:yMode val="factor"/>
          <c:x val="-0.024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295"/>
          <c:w val="0.8907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'10.17.4 Evo.Graficos'!$AE$33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66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Evo.Graficos'!$AF$32:$BB$32</c:f>
              <c:numCache/>
            </c:numRef>
          </c:cat>
          <c:val>
            <c:numRef>
              <c:f>'10.17.4 Evo.Graficos'!$AF$33:$BB$33</c:f>
              <c:numCache/>
            </c:numRef>
          </c:val>
          <c:smooth val="0"/>
        </c:ser>
        <c:ser>
          <c:idx val="0"/>
          <c:order val="1"/>
          <c:tx>
            <c:strRef>
              <c:f>'10.17.4 Evo.Graficos'!$AE$34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Evo.Graficos'!$AF$32:$BB$32</c:f>
              <c:numCache/>
            </c:numRef>
          </c:cat>
          <c:val>
            <c:numRef>
              <c:f>'10.17.4 Evo.Graficos'!$AF$34:$BB$34</c:f>
              <c:numCache/>
            </c:numRef>
          </c:val>
          <c:smooth val="0"/>
        </c:ser>
        <c:ser>
          <c:idx val="2"/>
          <c:order val="2"/>
          <c:tx>
            <c:strRef>
              <c:f>'10.17.4 Evo.Graficos'!$AE$35</c:f>
              <c:strCache>
                <c:ptCount val="1"/>
                <c:pt idx="0">
                  <c:v>Publica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'10.17.4 Evo.Graficos'!$AF$32:$BB$32</c:f>
              <c:numCache/>
            </c:numRef>
          </c:cat>
          <c:val>
            <c:numRef>
              <c:f>'10.17.4 Evo.Graficos'!$AF$35:$BB$35</c:f>
              <c:numCache/>
            </c:numRef>
          </c:val>
          <c:smooth val="0"/>
        </c:ser>
        <c:marker val="1"/>
        <c:axId val="43846748"/>
        <c:axId val="59076413"/>
      </c:line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6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6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875"/>
          <c:y val="0.89625"/>
          <c:w val="0.371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07"/>
          <c:w val="0.954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'[5]10.18 - 2011'!$D$8:$D$91</c:f>
              <c:numCache>
                <c:ptCount val="84"/>
                <c:pt idx="0">
                  <c:v>38718</c:v>
                </c:pt>
                <c:pt idx="2">
                  <c:v>38777</c:v>
                </c:pt>
                <c:pt idx="4">
                  <c:v>38838</c:v>
                </c:pt>
                <c:pt idx="6">
                  <c:v>38899</c:v>
                </c:pt>
                <c:pt idx="8">
                  <c:v>38961</c:v>
                </c:pt>
                <c:pt idx="10">
                  <c:v>39022</c:v>
                </c:pt>
                <c:pt idx="12">
                  <c:v>39083</c:v>
                </c:pt>
                <c:pt idx="14">
                  <c:v>39142</c:v>
                </c:pt>
                <c:pt idx="16">
                  <c:v>39203</c:v>
                </c:pt>
                <c:pt idx="18">
                  <c:v>39264</c:v>
                </c:pt>
                <c:pt idx="20">
                  <c:v>39326</c:v>
                </c:pt>
                <c:pt idx="22">
                  <c:v>39387</c:v>
                </c:pt>
                <c:pt idx="24">
                  <c:v>39448</c:v>
                </c:pt>
                <c:pt idx="26">
                  <c:v>39508</c:v>
                </c:pt>
                <c:pt idx="28">
                  <c:v>39569</c:v>
                </c:pt>
                <c:pt idx="30">
                  <c:v>39630</c:v>
                </c:pt>
                <c:pt idx="32">
                  <c:v>39692</c:v>
                </c:pt>
                <c:pt idx="34">
                  <c:v>39753</c:v>
                </c:pt>
                <c:pt idx="36">
                  <c:v>39814</c:v>
                </c:pt>
                <c:pt idx="38">
                  <c:v>39873</c:v>
                </c:pt>
                <c:pt idx="40">
                  <c:v>39934</c:v>
                </c:pt>
                <c:pt idx="42">
                  <c:v>39995</c:v>
                </c:pt>
                <c:pt idx="44">
                  <c:v>40057</c:v>
                </c:pt>
                <c:pt idx="46">
                  <c:v>40118</c:v>
                </c:pt>
                <c:pt idx="48">
                  <c:v>40179</c:v>
                </c:pt>
                <c:pt idx="50">
                  <c:v>40238</c:v>
                </c:pt>
                <c:pt idx="52">
                  <c:v>40299</c:v>
                </c:pt>
                <c:pt idx="54">
                  <c:v>40360</c:v>
                </c:pt>
                <c:pt idx="56">
                  <c:v>40422</c:v>
                </c:pt>
                <c:pt idx="58">
                  <c:v>40483</c:v>
                </c:pt>
                <c:pt idx="60">
                  <c:v>40544</c:v>
                </c:pt>
                <c:pt idx="62">
                  <c:v>40603</c:v>
                </c:pt>
                <c:pt idx="64">
                  <c:v>40664</c:v>
                </c:pt>
                <c:pt idx="66">
                  <c:v>40725</c:v>
                </c:pt>
                <c:pt idx="68">
                  <c:v>40787</c:v>
                </c:pt>
                <c:pt idx="70">
                  <c:v>40848</c:v>
                </c:pt>
                <c:pt idx="72">
                  <c:v>40909</c:v>
                </c:pt>
                <c:pt idx="74">
                  <c:v>40969</c:v>
                </c:pt>
                <c:pt idx="76">
                  <c:v>41030</c:v>
                </c:pt>
                <c:pt idx="78">
                  <c:v>41091</c:v>
                </c:pt>
                <c:pt idx="80">
                  <c:v>41153</c:v>
                </c:pt>
                <c:pt idx="82">
                  <c:v>41214</c:v>
                </c:pt>
              </c:numCache>
            </c:numRef>
          </c:cat>
          <c:val>
            <c:numRef>
              <c:f>'[5]10.18 - 2011'!$J$8:$J$91</c:f>
              <c:numCache>
                <c:ptCount val="84"/>
                <c:pt idx="0">
                  <c:v>29.40772803047325</c:v>
                </c:pt>
                <c:pt idx="1">
                  <c:v>38.38144406063898</c:v>
                </c:pt>
                <c:pt idx="2">
                  <c:v>24.06367786693817</c:v>
                </c:pt>
                <c:pt idx="3">
                  <c:v>38.66997182864721</c:v>
                </c:pt>
                <c:pt idx="4">
                  <c:v>111.05844679191331</c:v>
                </c:pt>
                <c:pt idx="5">
                  <c:v>87.92642426074755</c:v>
                </c:pt>
                <c:pt idx="6">
                  <c:v>90.6501522206333</c:v>
                </c:pt>
                <c:pt idx="7">
                  <c:v>105.91767689295897</c:v>
                </c:pt>
                <c:pt idx="8">
                  <c:v>149.80447419401784</c:v>
                </c:pt>
                <c:pt idx="9">
                  <c:v>71.89333155684525</c:v>
                </c:pt>
                <c:pt idx="10">
                  <c:v>40.58693942513745</c:v>
                </c:pt>
                <c:pt idx="11">
                  <c:v>28.870515141267692</c:v>
                </c:pt>
                <c:pt idx="12">
                  <c:v>25.00159693658118</c:v>
                </c:pt>
                <c:pt idx="13">
                  <c:v>35.6319932875622</c:v>
                </c:pt>
                <c:pt idx="14">
                  <c:v>46.091712089068736</c:v>
                </c:pt>
                <c:pt idx="15">
                  <c:v>34.560456800320175</c:v>
                </c:pt>
                <c:pt idx="16">
                  <c:v>36.33041824035069</c:v>
                </c:pt>
                <c:pt idx="17">
                  <c:v>65.79240199842816</c:v>
                </c:pt>
                <c:pt idx="18">
                  <c:v>27.850818185593607</c:v>
                </c:pt>
                <c:pt idx="19">
                  <c:v>45.14206431882969</c:v>
                </c:pt>
                <c:pt idx="20">
                  <c:v>34.50076580512299</c:v>
                </c:pt>
                <c:pt idx="21">
                  <c:v>35.540183591587734</c:v>
                </c:pt>
                <c:pt idx="22">
                  <c:v>29.52302410793754</c:v>
                </c:pt>
                <c:pt idx="23">
                  <c:v>44.13983291329466</c:v>
                </c:pt>
                <c:pt idx="24">
                  <c:v>17.40771362851168</c:v>
                </c:pt>
                <c:pt idx="25">
                  <c:v>18.357555582408352</c:v>
                </c:pt>
                <c:pt idx="26">
                  <c:v>20.894767206130403</c:v>
                </c:pt>
                <c:pt idx="27">
                  <c:v>20.902722086774013</c:v>
                </c:pt>
                <c:pt idx="28">
                  <c:v>47.86292999988126</c:v>
                </c:pt>
                <c:pt idx="29">
                  <c:v>154.36918105946012</c:v>
                </c:pt>
                <c:pt idx="30">
                  <c:v>235.95266523675375</c:v>
                </c:pt>
                <c:pt idx="31">
                  <c:v>195.68577868888678</c:v>
                </c:pt>
                <c:pt idx="32">
                  <c:v>185.208078276995</c:v>
                </c:pt>
                <c:pt idx="33">
                  <c:v>63.352966322254304</c:v>
                </c:pt>
                <c:pt idx="34">
                  <c:v>60.691667285829936</c:v>
                </c:pt>
                <c:pt idx="35">
                  <c:v>81.78173518817438</c:v>
                </c:pt>
                <c:pt idx="36">
                  <c:v>29.369348296897222</c:v>
                </c:pt>
                <c:pt idx="37">
                  <c:v>43.776457202765684</c:v>
                </c:pt>
                <c:pt idx="38">
                  <c:v>24.861875115715424</c:v>
                </c:pt>
                <c:pt idx="39">
                  <c:v>25.314508838819297</c:v>
                </c:pt>
                <c:pt idx="40">
                  <c:v>28.671329341947246</c:v>
                </c:pt>
                <c:pt idx="41">
                  <c:v>65.70413414587718</c:v>
                </c:pt>
                <c:pt idx="42">
                  <c:v>41.219335726861885</c:v>
                </c:pt>
                <c:pt idx="43">
                  <c:v>33.88069765499597</c:v>
                </c:pt>
                <c:pt idx="44">
                  <c:v>36.22481115862637</c:v>
                </c:pt>
                <c:pt idx="45">
                  <c:v>19.78629317012173</c:v>
                </c:pt>
                <c:pt idx="46">
                  <c:v>20.371688329660614</c:v>
                </c:pt>
                <c:pt idx="47">
                  <c:v>17.24229191724363</c:v>
                </c:pt>
                <c:pt idx="48">
                  <c:v>23.151885461718962</c:v>
                </c:pt>
                <c:pt idx="49">
                  <c:v>24.548984941939395</c:v>
                </c:pt>
                <c:pt idx="50">
                  <c:v>21.96722285455707</c:v>
                </c:pt>
                <c:pt idx="51">
                  <c:v>16.604080594856992</c:v>
                </c:pt>
                <c:pt idx="52">
                  <c:v>18.16067968869995</c:v>
                </c:pt>
                <c:pt idx="53">
                  <c:v>20.432221464971622</c:v>
                </c:pt>
                <c:pt idx="54">
                  <c:v>19.881447155658215</c:v>
                </c:pt>
                <c:pt idx="55">
                  <c:v>22.893245224912185</c:v>
                </c:pt>
                <c:pt idx="56">
                  <c:v>23.84263865608131</c:v>
                </c:pt>
                <c:pt idx="57">
                  <c:v>24.228694081858677</c:v>
                </c:pt>
                <c:pt idx="58">
                  <c:v>23.101261189548914</c:v>
                </c:pt>
                <c:pt idx="59">
                  <c:v>18.75801322709556</c:v>
                </c:pt>
                <c:pt idx="60">
                  <c:v>17.567231399929128</c:v>
                </c:pt>
                <c:pt idx="61">
                  <c:v>21.742048887431082</c:v>
                </c:pt>
                <c:pt idx="62">
                  <c:v>21.626283545801094</c:v>
                </c:pt>
                <c:pt idx="63">
                  <c:v>17.915334479823386</c:v>
                </c:pt>
                <c:pt idx="64">
                  <c:v>18.787395083847304</c:v>
                </c:pt>
                <c:pt idx="65">
                  <c:v>25.855921760562026</c:v>
                </c:pt>
                <c:pt idx="66">
                  <c:v>20.447964669259296</c:v>
                </c:pt>
                <c:pt idx="67">
                  <c:v>31.513723552074428</c:v>
                </c:pt>
                <c:pt idx="68">
                  <c:v>33.62547725029322</c:v>
                </c:pt>
                <c:pt idx="69">
                  <c:v>27.061673246469805</c:v>
                </c:pt>
                <c:pt idx="70">
                  <c:v>28.576509854755177</c:v>
                </c:pt>
                <c:pt idx="71">
                  <c:v>21.572143903935988</c:v>
                </c:pt>
                <c:pt idx="72">
                  <c:v>20.92350333347204</c:v>
                </c:pt>
                <c:pt idx="73">
                  <c:v>23.281193717478597</c:v>
                </c:pt>
                <c:pt idx="74">
                  <c:v>38.16859054093418</c:v>
                </c:pt>
                <c:pt idx="75">
                  <c:v>26.67609135894014</c:v>
                </c:pt>
                <c:pt idx="76">
                  <c:v>27.17512871265191</c:v>
                </c:pt>
                <c:pt idx="77">
                  <c:v>45.522872757662974</c:v>
                </c:pt>
                <c:pt idx="78">
                  <c:v>58.048907123652945</c:v>
                </c:pt>
                <c:pt idx="79">
                  <c:v>35.09121231909898</c:v>
                </c:pt>
                <c:pt idx="80">
                  <c:v>36.409005151664</c:v>
                </c:pt>
                <c:pt idx="81">
                  <c:v>28.761055033613044</c:v>
                </c:pt>
                <c:pt idx="82">
                  <c:v>14.350125025801393</c:v>
                </c:pt>
                <c:pt idx="83">
                  <c:v>13.750358573352774</c:v>
                </c:pt>
              </c:numCache>
            </c:numRef>
          </c:val>
        </c:ser>
        <c:axId val="61925670"/>
        <c:axId val="20460119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multiLvlStrRef>
              <c:f>'[5]10.18 - 2011'!$B$8:$C$91</c:f>
              <c:multiLvlStrCache>
                <c:ptCount val="8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</c:lvl>
              </c:multiLvlStrCache>
            </c:multiLvlStrRef>
          </c:cat>
          <c:val>
            <c:numRef>
              <c:f>'[5]10.18 - 2011'!$I$8:$I$91</c:f>
              <c:numCache>
                <c:ptCount val="84"/>
                <c:pt idx="0">
                  <c:v>30.901376053108024</c:v>
                </c:pt>
                <c:pt idx="1">
                  <c:v>30.788158530649426</c:v>
                </c:pt>
                <c:pt idx="2">
                  <c:v>30.163043478260867</c:v>
                </c:pt>
                <c:pt idx="3">
                  <c:v>30.344202898550723</c:v>
                </c:pt>
                <c:pt idx="4">
                  <c:v>29.25181428961832</c:v>
                </c:pt>
                <c:pt idx="5">
                  <c:v>29.54196319018405</c:v>
                </c:pt>
                <c:pt idx="6">
                  <c:v>29.592905613818633</c:v>
                </c:pt>
                <c:pt idx="7">
                  <c:v>29.723850663375504</c:v>
                </c:pt>
                <c:pt idx="8">
                  <c:v>29.693600000000004</c:v>
                </c:pt>
                <c:pt idx="9">
                  <c:v>29.954912935323385</c:v>
                </c:pt>
                <c:pt idx="10">
                  <c:v>27.964788681352772</c:v>
                </c:pt>
                <c:pt idx="11">
                  <c:v>28.103122577416325</c:v>
                </c:pt>
                <c:pt idx="12">
                  <c:v>28.13349591747421</c:v>
                </c:pt>
                <c:pt idx="13">
                  <c:v>28.2884214169279</c:v>
                </c:pt>
                <c:pt idx="14">
                  <c:v>28.35549135678392</c:v>
                </c:pt>
                <c:pt idx="15">
                  <c:v>28.31770895334174</c:v>
                </c:pt>
                <c:pt idx="16">
                  <c:v>29.08938582677165</c:v>
                </c:pt>
                <c:pt idx="17">
                  <c:v>29.23931839697065</c:v>
                </c:pt>
                <c:pt idx="18">
                  <c:v>29.177190762416952</c:v>
                </c:pt>
                <c:pt idx="19">
                  <c:v>30.829121087575086</c:v>
                </c:pt>
                <c:pt idx="20">
                  <c:v>31.655794363459666</c:v>
                </c:pt>
                <c:pt idx="21">
                  <c:v>32.52585390260173</c:v>
                </c:pt>
                <c:pt idx="22">
                  <c:v>30.67458550533333</c:v>
                </c:pt>
                <c:pt idx="23">
                  <c:v>30.36143812479146</c:v>
                </c:pt>
                <c:pt idx="24">
                  <c:v>29.17281880862853</c:v>
                </c:pt>
                <c:pt idx="25">
                  <c:v>29.438852566678214</c:v>
                </c:pt>
                <c:pt idx="26">
                  <c:v>31.09450077203205</c:v>
                </c:pt>
                <c:pt idx="27">
                  <c:v>29.116926145212208</c:v>
                </c:pt>
                <c:pt idx="28">
                  <c:v>31.930685843868687</c:v>
                </c:pt>
                <c:pt idx="29">
                  <c:v>32.01472185642062</c:v>
                </c:pt>
                <c:pt idx="30">
                  <c:v>35.746655723286295</c:v>
                </c:pt>
                <c:pt idx="31">
                  <c:v>33.60951316867483</c:v>
                </c:pt>
                <c:pt idx="32">
                  <c:v>36.17518619213973</c:v>
                </c:pt>
                <c:pt idx="33">
                  <c:v>34.78443786407766</c:v>
                </c:pt>
                <c:pt idx="34">
                  <c:v>34.70486286821705</c:v>
                </c:pt>
                <c:pt idx="35">
                  <c:v>31.275602291534053</c:v>
                </c:pt>
                <c:pt idx="36">
                  <c:v>31.036588279773156</c:v>
                </c:pt>
                <c:pt idx="37">
                  <c:v>30.418552322362345</c:v>
                </c:pt>
                <c:pt idx="38">
                  <c:v>33.13100124378769</c:v>
                </c:pt>
                <c:pt idx="39">
                  <c:v>34.91537949916526</c:v>
                </c:pt>
                <c:pt idx="40">
                  <c:v>32.33561311863859</c:v>
                </c:pt>
                <c:pt idx="41">
                  <c:v>32.015941547658585</c:v>
                </c:pt>
                <c:pt idx="42">
                  <c:v>32.27318379645129</c:v>
                </c:pt>
                <c:pt idx="43">
                  <c:v>32.17927955530267</c:v>
                </c:pt>
                <c:pt idx="44">
                  <c:v>32.824956672443676</c:v>
                </c:pt>
                <c:pt idx="45">
                  <c:v>32.58774948382656</c:v>
                </c:pt>
                <c:pt idx="46">
                  <c:v>32.676973658837596</c:v>
                </c:pt>
                <c:pt idx="47">
                  <c:v>32.486805547806874</c:v>
                </c:pt>
                <c:pt idx="48">
                  <c:v>31.03709620964919</c:v>
                </c:pt>
                <c:pt idx="49">
                  <c:v>31.18763475906333</c:v>
                </c:pt>
                <c:pt idx="50">
                  <c:v>31.281781344350865</c:v>
                </c:pt>
                <c:pt idx="51">
                  <c:v>31.074499824499817</c:v>
                </c:pt>
                <c:pt idx="52">
                  <c:v>28.854054462649053</c:v>
                </c:pt>
                <c:pt idx="53">
                  <c:v>29.030086860826163</c:v>
                </c:pt>
                <c:pt idx="54">
                  <c:v>28.976286210362794</c:v>
                </c:pt>
                <c:pt idx="55">
                  <c:v>29.838833312807868</c:v>
                </c:pt>
                <c:pt idx="56">
                  <c:v>29.97020962856688</c:v>
                </c:pt>
                <c:pt idx="57">
                  <c:v>29.82208874234284</c:v>
                </c:pt>
                <c:pt idx="58">
                  <c:v>29.45626373195229</c:v>
                </c:pt>
                <c:pt idx="59">
                  <c:v>29.611042846151197</c:v>
                </c:pt>
                <c:pt idx="60">
                  <c:v>30.043206573370714</c:v>
                </c:pt>
                <c:pt idx="61">
                  <c:v>30.096525096525095</c:v>
                </c:pt>
                <c:pt idx="62">
                  <c:v>29.7948651601403</c:v>
                </c:pt>
                <c:pt idx="63">
                  <c:v>31.03474930087833</c:v>
                </c:pt>
                <c:pt idx="64">
                  <c:v>34.17484815402179</c:v>
                </c:pt>
                <c:pt idx="65">
                  <c:v>34.41270053030303</c:v>
                </c:pt>
                <c:pt idx="66">
                  <c:v>34.54493143099507</c:v>
                </c:pt>
                <c:pt idx="67">
                  <c:v>34.70464030542839</c:v>
                </c:pt>
                <c:pt idx="68">
                  <c:v>34.137619154946506</c:v>
                </c:pt>
                <c:pt idx="69">
                  <c:v>34.94813667389336</c:v>
                </c:pt>
                <c:pt idx="70">
                  <c:v>35.049972762345675</c:v>
                </c:pt>
                <c:pt idx="71">
                  <c:v>35.07008611719114</c:v>
                </c:pt>
                <c:pt idx="72">
                  <c:v>35.15859835952578</c:v>
                </c:pt>
                <c:pt idx="73">
                  <c:v>35.347147301769205</c:v>
                </c:pt>
                <c:pt idx="74">
                  <c:v>34.62244852036347</c:v>
                </c:pt>
                <c:pt idx="75">
                  <c:v>34.91061140900523</c:v>
                </c:pt>
                <c:pt idx="76">
                  <c:v>39.67506748428566</c:v>
                </c:pt>
                <c:pt idx="77">
                  <c:v>40.19873954823412</c:v>
                </c:pt>
                <c:pt idx="78">
                  <c:v>40.79313856611737</c:v>
                </c:pt>
                <c:pt idx="79">
                  <c:v>41.142627610925715</c:v>
                </c:pt>
                <c:pt idx="80">
                  <c:v>41.35552989479087</c:v>
                </c:pt>
                <c:pt idx="81">
                  <c:v>41.45126028806584</c:v>
                </c:pt>
                <c:pt idx="82">
                  <c:v>41.493149799663954</c:v>
                </c:pt>
                <c:pt idx="83">
                  <c:v>41.883638294912814</c:v>
                </c:pt>
              </c:numCache>
            </c:numRef>
          </c:val>
          <c:smooth val="0"/>
        </c:ser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0"/>
        <c:lblOffset val="50"/>
        <c:tickLblSkip val="1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US$/MW.h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5"/>
          <c:y val="0.08575"/>
          <c:w val="0.404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MERCADO ELÉCTRICO
1 995 - 2 012</a:t>
            </a:r>
          </a:p>
        </c:rich>
      </c:tx>
      <c:layout>
        <c:manualLayout>
          <c:xMode val="factor"/>
          <c:yMode val="factor"/>
          <c:x val="0.00525"/>
          <c:y val="0.01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175"/>
          <c:y val="0.17475"/>
          <c:w val="0.801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PEfectiva'!$R$32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PEfectiva'!$R$33:$R$50</c:f>
              <c:numCache/>
            </c:numRef>
          </c:val>
        </c:ser>
        <c:ser>
          <c:idx val="1"/>
          <c:order val="1"/>
          <c:tx>
            <c:strRef>
              <c:f>'10.2 PEfectiva'!$S$32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PEfectiva'!$S$33:$S$50</c:f>
              <c:numCache/>
            </c:numRef>
          </c:val>
        </c:ser>
        <c:ser>
          <c:idx val="2"/>
          <c:order val="2"/>
          <c:tx>
            <c:strRef>
              <c:f>'10.2 PEfectiva'!$T$32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PEfectiva'!$T$33:$T$50</c:f>
              <c:numCache/>
            </c:numRef>
          </c:val>
        </c:ser>
        <c:ser>
          <c:idx val="3"/>
          <c:order val="3"/>
          <c:tx>
            <c:strRef>
              <c:f>'10.2 PEfectiva'!$U$32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PEfectiva'!$Q$33:$Q$50</c:f>
              <c:numCache/>
            </c:numRef>
          </c:cat>
          <c:val>
            <c:numRef>
              <c:f>'10.2 PEfectiva'!$U$33:$U$50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525"/>
          <c:y val="0.854"/>
          <c:w val="0.521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USO PROPIO
1 995 - 2 012</a:t>
            </a:r>
          </a:p>
        </c:rich>
      </c:tx>
      <c:layout>
        <c:manualLayout>
          <c:xMode val="factor"/>
          <c:yMode val="factor"/>
          <c:x val="0.0115"/>
          <c:y val="0.025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775"/>
          <c:y val="0.198"/>
          <c:w val="0.811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PEfectiva'!$Q$58:$Q$75</c:f>
              <c:numCache/>
            </c:numRef>
          </c:cat>
          <c:val>
            <c:numRef>
              <c:f>'10.2 PEfectiva'!$R$58:$R$75</c:f>
              <c:numCache/>
            </c:numRef>
          </c:val>
        </c:ser>
        <c:ser>
          <c:idx val="1"/>
          <c:order val="1"/>
          <c:tx>
            <c:strRef>
              <c:f>'10.2 PEfectiva'!$S$57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PEfectiva'!$Q$58:$Q$75</c:f>
              <c:numCache/>
            </c:numRef>
          </c:cat>
          <c:val>
            <c:numRef>
              <c:f>'10.2 PEfectiva'!$S$58:$S$75</c:f>
              <c:numCache/>
            </c:numRef>
          </c:val>
        </c:ser>
        <c:ser>
          <c:idx val="2"/>
          <c:order val="2"/>
          <c:tx>
            <c:strRef>
              <c:f>'10.2 PEfectiva'!$T$57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PEfectiva'!$Q$58:$Q$75</c:f>
              <c:numCache/>
            </c:numRef>
          </c:cat>
          <c:val>
            <c:numRef>
              <c:f>'10.2 PEfectiva'!$T$58:$T$75</c:f>
              <c:numCache/>
            </c:numRef>
          </c:val>
        </c:ser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5"/>
          <c:y val="0.89175"/>
          <c:w val="0.356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POTENCIA EFECTIVA 1 995 - 2 012</a:t>
            </a:r>
          </a:p>
        </c:rich>
      </c:tx>
      <c:layout>
        <c:manualLayout>
          <c:xMode val="factor"/>
          <c:yMode val="factor"/>
          <c:x val="-0.00525"/>
          <c:y val="0.0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125"/>
          <c:y val="0.1705"/>
          <c:w val="0.7722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PEfectiva'!$R$5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PEfectiva'!$R$6:$R$23</c:f>
              <c:numCache/>
            </c:numRef>
          </c:val>
        </c:ser>
        <c:ser>
          <c:idx val="1"/>
          <c:order val="1"/>
          <c:tx>
            <c:strRef>
              <c:f>'10.2 PEfectiva'!$S$5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PEfectiva'!$S$6:$S$23</c:f>
              <c:numCache/>
            </c:numRef>
          </c:val>
        </c:ser>
        <c:ser>
          <c:idx val="2"/>
          <c:order val="2"/>
          <c:tx>
            <c:strRef>
              <c:f>'10.2 PEfectiva'!$T$5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PEfectiva'!$T$6:$T$23</c:f>
              <c:numCache/>
            </c:numRef>
          </c:val>
        </c:ser>
        <c:ser>
          <c:idx val="3"/>
          <c:order val="3"/>
          <c:tx>
            <c:strRef>
              <c:f>'10.2 PEfectiva'!$U$5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'10.2 PEfectiva'!$Q$6:$Q$23</c:f>
              <c:numCache/>
            </c:numRef>
          </c:cat>
          <c:val>
            <c:numRef>
              <c:f>'10.2 PEfectiva'!$U$6:$U$23</c:f>
              <c:numCache/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05"/>
          <c:y val="0.86025"/>
          <c:w val="0.531"/>
          <c:h val="0.1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INCREMENTOS DE POTENCIA INSTALADA POR DÉCADAS</a:t>
            </a:r>
          </a:p>
        </c:rich>
      </c:tx>
      <c:layout>
        <c:manualLayout>
          <c:xMode val="factor"/>
          <c:yMode val="factor"/>
          <c:x val="0.0045"/>
          <c:y val="-0.01975"/>
        </c:manualLayout>
      </c:layout>
      <c:spPr>
        <a:solidFill>
          <a:srgbClr val="333399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5"/>
          <c:y val="0.122"/>
          <c:w val="0.9152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 2012'!$H$32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2012'!$A$34:$A$38</c:f>
              <c:strCache/>
            </c:strRef>
          </c:cat>
          <c:val>
            <c:numRef>
              <c:f>'10.3 Incre PI 2012'!$H$34:$H$38</c:f>
              <c:numCache/>
            </c:numRef>
          </c:val>
          <c:smooth val="0"/>
        </c:ser>
        <c:ser>
          <c:idx val="1"/>
          <c:order val="1"/>
          <c:tx>
            <c:strRef>
              <c:f>'10.3 Incre PI 2012'!$I$32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2012'!$A$34:$A$38</c:f>
              <c:strCache/>
            </c:strRef>
          </c:cat>
          <c:val>
            <c:numRef>
              <c:f>'10.3 Incre PI 2012'!$I$34:$I$38</c:f>
              <c:numCache/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Períodos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PRODUCCIÓN DE 
ENERGÍA ELÉCTRICA 1 995 - 2 012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61"/>
          <c:w val="0.894"/>
          <c:h val="0.714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Prod'!$S$26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Prod'!$R$27:$R$44</c:f>
              <c:numCache/>
            </c:numRef>
          </c:cat>
          <c:val>
            <c:numRef>
              <c:f>'10.4 Prod'!$S$27:$S$44</c:f>
              <c:numCache/>
            </c:numRef>
          </c:val>
        </c:ser>
        <c:ser>
          <c:idx val="1"/>
          <c:order val="1"/>
          <c:tx>
            <c:strRef>
              <c:f>'10.4 Prod'!$T$26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Prod'!$R$27:$R$44</c:f>
              <c:numCache/>
            </c:numRef>
          </c:cat>
          <c:val>
            <c:numRef>
              <c:f>'10.4 Prod'!$T$27:$T$44</c:f>
              <c:numCache/>
            </c:numRef>
          </c:val>
        </c:ser>
        <c:axId val="49283820"/>
        <c:axId val="40901197"/>
      </c:area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ax val="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83820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EL MERCADO ELÉCTRICO 1 995 - 2 012</a:t>
            </a:r>
          </a:p>
        </c:rich>
      </c:tx>
      <c:layout>
        <c:manualLayout>
          <c:xMode val="factor"/>
          <c:yMode val="factor"/>
          <c:x val="0.009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3"/>
          <c:y val="0.18475"/>
          <c:w val="0.92025"/>
          <c:h val="0.814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Prod'!$S$50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Prod'!$R$51:$R$68</c:f>
              <c:numCache/>
            </c:numRef>
          </c:cat>
          <c:val>
            <c:numRef>
              <c:f>'10.4 Prod'!$S$51:$S$68</c:f>
              <c:numCache/>
            </c:numRef>
          </c:val>
        </c:ser>
        <c:ser>
          <c:idx val="1"/>
          <c:order val="1"/>
          <c:tx>
            <c:strRef>
              <c:f>'10.4 Prod'!$T$50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Prod'!$R$51:$R$68</c:f>
              <c:numCache/>
            </c:numRef>
          </c:cat>
          <c:val>
            <c:numRef>
              <c:f>'10.4 Prod'!$T$51:$T$68</c:f>
              <c:numCache/>
            </c:numRef>
          </c:val>
        </c:ser>
        <c:ser>
          <c:idx val="2"/>
          <c:order val="2"/>
          <c:tx>
            <c:strRef>
              <c:f>'10.4 Prod'!$U$50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'10.4 Prod'!$R$51:$R$68</c:f>
              <c:numCache/>
            </c:numRef>
          </c:cat>
          <c:val>
            <c:numRef>
              <c:f>'10.4 Prod'!$U$51:$U$68</c:f>
              <c:numCache/>
            </c:numRef>
          </c:val>
        </c:ser>
        <c:axId val="32566454"/>
        <c:axId val="24662631"/>
      </c:area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1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64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0.6345</cdr:x>
      <cdr:y>0.91925</cdr:y>
    </cdr:from>
    <cdr:to>
      <cdr:x>0.645</cdr:x>
      <cdr:y>0.95475</cdr:y>
    </cdr:to>
    <cdr:sp>
      <cdr:nvSpPr>
        <cdr:cNvPr id="1" name="1 Rectángulo"/>
        <cdr:cNvSpPr>
          <a:spLocks/>
        </cdr:cNvSpPr>
      </cdr:nvSpPr>
      <cdr:spPr>
        <a:xfrm>
          <a:off x="5943600" y="2552700"/>
          <a:ext cx="95250" cy="95250"/>
        </a:xfrm>
        <a:prstGeom prst="rect">
          <a:avLst/>
        </a:prstGeom>
        <a:solidFill>
          <a:srgbClr val="00B050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41</xdr:row>
      <xdr:rowOff>47625</xdr:rowOff>
    </xdr:from>
    <xdr:to>
      <xdr:col>9</xdr:col>
      <xdr:colOff>466725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1104900" y="6800850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62</xdr:row>
      <xdr:rowOff>152400</xdr:rowOff>
    </xdr:from>
    <xdr:to>
      <xdr:col>9</xdr:col>
      <xdr:colOff>476250</xdr:colOff>
      <xdr:row>82</xdr:row>
      <xdr:rowOff>133350</xdr:rowOff>
    </xdr:to>
    <xdr:graphicFrame>
      <xdr:nvGraphicFramePr>
        <xdr:cNvPr id="2" name="Chart 2"/>
        <xdr:cNvGraphicFramePr/>
      </xdr:nvGraphicFramePr>
      <xdr:xfrm>
        <a:off x="1133475" y="10306050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0.25675</cdr:y>
    </cdr:from>
    <cdr:to>
      <cdr:x>0.71775</cdr:x>
      <cdr:y>0.307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10096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  <cdr:relSizeAnchor xmlns:cdr="http://schemas.openxmlformats.org/drawingml/2006/chartDrawing">
    <cdr:from>
      <cdr:x>0.57375</cdr:x>
      <cdr:y>0.4495</cdr:y>
    </cdr:from>
    <cdr:to>
      <cdr:x>0.6995</cdr:x>
      <cdr:y>0.49575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10050" y="177165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Residencial</a:t>
          </a:r>
        </a:p>
      </cdr:txBody>
    </cdr:sp>
  </cdr:relSizeAnchor>
  <cdr:relSizeAnchor xmlns:cdr="http://schemas.openxmlformats.org/drawingml/2006/chartDrawing">
    <cdr:from>
      <cdr:x>0.5545</cdr:x>
      <cdr:y>0.5745</cdr:y>
    </cdr:from>
    <cdr:to>
      <cdr:x>0.67925</cdr:x>
      <cdr:y>0.6235</cdr:y>
    </cdr:to>
    <cdr:sp>
      <cdr:nvSpPr>
        <cdr:cNvPr id="3" name="Text Box 3"/>
        <cdr:cNvSpPr txBox="1">
          <a:spLocks noChangeArrowheads="1"/>
        </cdr:cNvSpPr>
      </cdr:nvSpPr>
      <cdr:spPr>
        <a:xfrm>
          <a:off x="4076700" y="2257425"/>
          <a:ext cx="914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Comercial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28575</xdr:rowOff>
    </xdr:from>
    <xdr:to>
      <xdr:col>12</xdr:col>
      <xdr:colOff>419100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561975" y="5905500"/>
        <a:ext cx="7353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52</xdr:row>
      <xdr:rowOff>38100</xdr:rowOff>
    </xdr:from>
    <xdr:to>
      <xdr:col>11</xdr:col>
      <xdr:colOff>438150</xdr:colOff>
      <xdr:row>53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81675" y="8667750"/>
          <a:ext cx="1504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Alumbrado Público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161925</xdr:rowOff>
    </xdr:from>
    <xdr:to>
      <xdr:col>6</xdr:col>
      <xdr:colOff>47625</xdr:colOff>
      <xdr:row>57</xdr:row>
      <xdr:rowOff>142875</xdr:rowOff>
    </xdr:to>
    <xdr:graphicFrame>
      <xdr:nvGraphicFramePr>
        <xdr:cNvPr id="1" name="Chart 3"/>
        <xdr:cNvGraphicFramePr/>
      </xdr:nvGraphicFramePr>
      <xdr:xfrm>
        <a:off x="95250" y="5400675"/>
        <a:ext cx="5705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57150</xdr:rowOff>
    </xdr:from>
    <xdr:to>
      <xdr:col>6</xdr:col>
      <xdr:colOff>495300</xdr:colOff>
      <xdr:row>61</xdr:row>
      <xdr:rowOff>76200</xdr:rowOff>
    </xdr:to>
    <xdr:graphicFrame>
      <xdr:nvGraphicFramePr>
        <xdr:cNvPr id="1" name="Chart 3"/>
        <xdr:cNvGraphicFramePr/>
      </xdr:nvGraphicFramePr>
      <xdr:xfrm>
        <a:off x="95250" y="6057900"/>
        <a:ext cx="6048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123825</xdr:rowOff>
    </xdr:from>
    <xdr:to>
      <xdr:col>7</xdr:col>
      <xdr:colOff>0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514350" y="5343525"/>
        <a:ext cx="6848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56</xdr:row>
      <xdr:rowOff>47625</xdr:rowOff>
    </xdr:from>
    <xdr:to>
      <xdr:col>7</xdr:col>
      <xdr:colOff>66675</xdr:colOff>
      <xdr:row>80</xdr:row>
      <xdr:rowOff>57150</xdr:rowOff>
    </xdr:to>
    <xdr:graphicFrame>
      <xdr:nvGraphicFramePr>
        <xdr:cNvPr id="2" name="Chart 20"/>
        <xdr:cNvGraphicFramePr/>
      </xdr:nvGraphicFramePr>
      <xdr:xfrm>
        <a:off x="485775" y="9315450"/>
        <a:ext cx="6943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9525</xdr:rowOff>
    </xdr:from>
    <xdr:to>
      <xdr:col>22</xdr:col>
      <xdr:colOff>809625</xdr:colOff>
      <xdr:row>56</xdr:row>
      <xdr:rowOff>85725</xdr:rowOff>
    </xdr:to>
    <xdr:graphicFrame>
      <xdr:nvGraphicFramePr>
        <xdr:cNvPr id="1" name="Chart 2"/>
        <xdr:cNvGraphicFramePr/>
      </xdr:nvGraphicFramePr>
      <xdr:xfrm>
        <a:off x="704850" y="5876925"/>
        <a:ext cx="7943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58</xdr:row>
      <xdr:rowOff>38100</xdr:rowOff>
    </xdr:from>
    <xdr:to>
      <xdr:col>23</xdr:col>
      <xdr:colOff>0</xdr:colOff>
      <xdr:row>77</xdr:row>
      <xdr:rowOff>19050</xdr:rowOff>
    </xdr:to>
    <xdr:graphicFrame>
      <xdr:nvGraphicFramePr>
        <xdr:cNvPr id="2" name="Chart 3"/>
        <xdr:cNvGraphicFramePr/>
      </xdr:nvGraphicFramePr>
      <xdr:xfrm>
        <a:off x="676275" y="9467850"/>
        <a:ext cx="8001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838200</xdr:colOff>
      <xdr:row>39</xdr:row>
      <xdr:rowOff>104775</xdr:rowOff>
    </xdr:from>
    <xdr:to>
      <xdr:col>13</xdr:col>
      <xdr:colOff>609600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4362450" y="7115175"/>
        <a:ext cx="6496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133350</xdr:colOff>
      <xdr:row>65</xdr:row>
      <xdr:rowOff>85725</xdr:rowOff>
    </xdr:from>
    <xdr:to>
      <xdr:col>13</xdr:col>
      <xdr:colOff>819150</xdr:colOff>
      <xdr:row>88</xdr:row>
      <xdr:rowOff>161925</xdr:rowOff>
    </xdr:to>
    <xdr:graphicFrame>
      <xdr:nvGraphicFramePr>
        <xdr:cNvPr id="2" name="Chart 2"/>
        <xdr:cNvGraphicFramePr/>
      </xdr:nvGraphicFramePr>
      <xdr:xfrm>
        <a:off x="4552950" y="11391900"/>
        <a:ext cx="65151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4</xdr:row>
      <xdr:rowOff>266700</xdr:rowOff>
    </xdr:from>
    <xdr:to>
      <xdr:col>13</xdr:col>
      <xdr:colOff>790575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4591050" y="1143000"/>
        <a:ext cx="64484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0.914</cdr:y>
    </cdr:from>
    <cdr:to>
      <cdr:x>0.89975</cdr:x>
      <cdr:y>1</cdr:y>
    </cdr:to>
    <cdr:sp>
      <cdr:nvSpPr>
        <cdr:cNvPr id="1" name="1 Rectángulo"/>
        <cdr:cNvSpPr>
          <a:spLocks/>
        </cdr:cNvSpPr>
      </cdr:nvSpPr>
      <cdr:spPr>
        <a:xfrm>
          <a:off x="1533525" y="3400425"/>
          <a:ext cx="73342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(*) Ejecutada</a:t>
          </a:r>
          <a:r>
            <a:rPr lang="en-US" cap="none" sz="1000" b="1" i="0" u="none" baseline="0">
              <a:solidFill>
                <a:srgbClr val="000000"/>
              </a:solidFill>
            </a:rPr>
            <a:t> por la direcciòn General de Electrificaciòn Rural (DGER) del Ministerio de Energia y Minas (MINEM)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123825</xdr:rowOff>
    </xdr:from>
    <xdr:to>
      <xdr:col>23</xdr:col>
      <xdr:colOff>314325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381000" y="3829050"/>
        <a:ext cx="148399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36</xdr:col>
      <xdr:colOff>295275</xdr:colOff>
      <xdr:row>23</xdr:row>
      <xdr:rowOff>0</xdr:rowOff>
    </xdr:from>
    <xdr:ext cx="76200" cy="190500"/>
    <xdr:sp fLocksText="0">
      <xdr:nvSpPr>
        <xdr:cNvPr id="2" name="Text Box 4"/>
        <xdr:cNvSpPr txBox="1">
          <a:spLocks noChangeArrowheads="1"/>
        </xdr:cNvSpPr>
      </xdr:nvSpPr>
      <xdr:spPr>
        <a:xfrm>
          <a:off x="2395537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114300</xdr:rowOff>
    </xdr:from>
    <xdr:to>
      <xdr:col>23</xdr:col>
      <xdr:colOff>361950</xdr:colOff>
      <xdr:row>75</xdr:row>
      <xdr:rowOff>47625</xdr:rowOff>
    </xdr:to>
    <xdr:graphicFrame>
      <xdr:nvGraphicFramePr>
        <xdr:cNvPr id="3" name="Chart 5"/>
        <xdr:cNvGraphicFramePr/>
      </xdr:nvGraphicFramePr>
      <xdr:xfrm>
        <a:off x="209550" y="8420100"/>
        <a:ext cx="150590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0</xdr:colOff>
      <xdr:row>76</xdr:row>
      <xdr:rowOff>38100</xdr:rowOff>
    </xdr:from>
    <xdr:to>
      <xdr:col>25</xdr:col>
      <xdr:colOff>180975</xdr:colOff>
      <xdr:row>103</xdr:row>
      <xdr:rowOff>123825</xdr:rowOff>
    </xdr:to>
    <xdr:graphicFrame>
      <xdr:nvGraphicFramePr>
        <xdr:cNvPr id="4" name="Chart 1"/>
        <xdr:cNvGraphicFramePr/>
      </xdr:nvGraphicFramePr>
      <xdr:xfrm>
        <a:off x="209550" y="12553950"/>
        <a:ext cx="163068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175</xdr:row>
      <xdr:rowOff>142875</xdr:rowOff>
    </xdr:from>
    <xdr:to>
      <xdr:col>19</xdr:col>
      <xdr:colOff>333375</xdr:colOff>
      <xdr:row>198</xdr:row>
      <xdr:rowOff>142875</xdr:rowOff>
    </xdr:to>
    <xdr:graphicFrame>
      <xdr:nvGraphicFramePr>
        <xdr:cNvPr id="5" name="5 Gráfico"/>
        <xdr:cNvGraphicFramePr/>
      </xdr:nvGraphicFramePr>
      <xdr:xfrm>
        <a:off x="2514600" y="28689300"/>
        <a:ext cx="986790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109</xdr:row>
      <xdr:rowOff>47625</xdr:rowOff>
    </xdr:from>
    <xdr:to>
      <xdr:col>22</xdr:col>
      <xdr:colOff>390525</xdr:colOff>
      <xdr:row>134</xdr:row>
      <xdr:rowOff>95250</xdr:rowOff>
    </xdr:to>
    <xdr:graphicFrame>
      <xdr:nvGraphicFramePr>
        <xdr:cNvPr id="6" name="Chart 1"/>
        <xdr:cNvGraphicFramePr/>
      </xdr:nvGraphicFramePr>
      <xdr:xfrm>
        <a:off x="180975" y="17907000"/>
        <a:ext cx="14401800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148</xdr:row>
      <xdr:rowOff>66675</xdr:rowOff>
    </xdr:from>
    <xdr:to>
      <xdr:col>23</xdr:col>
      <xdr:colOff>38100</xdr:colOff>
      <xdr:row>173</xdr:row>
      <xdr:rowOff>47625</xdr:rowOff>
    </xdr:to>
    <xdr:graphicFrame>
      <xdr:nvGraphicFramePr>
        <xdr:cNvPr id="7" name="Chart 1"/>
        <xdr:cNvGraphicFramePr/>
      </xdr:nvGraphicFramePr>
      <xdr:xfrm>
        <a:off x="200025" y="24241125"/>
        <a:ext cx="147447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51</xdr:row>
      <xdr:rowOff>123825</xdr:rowOff>
    </xdr:from>
    <xdr:to>
      <xdr:col>14</xdr:col>
      <xdr:colOff>485775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390525" y="8543925"/>
        <a:ext cx="938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69</xdr:row>
      <xdr:rowOff>85725</xdr:rowOff>
    </xdr:from>
    <xdr:to>
      <xdr:col>14</xdr:col>
      <xdr:colOff>466725</xdr:colOff>
      <xdr:row>88</xdr:row>
      <xdr:rowOff>152400</xdr:rowOff>
    </xdr:to>
    <xdr:graphicFrame>
      <xdr:nvGraphicFramePr>
        <xdr:cNvPr id="2" name="Chart 2"/>
        <xdr:cNvGraphicFramePr/>
      </xdr:nvGraphicFramePr>
      <xdr:xfrm>
        <a:off x="390525" y="11420475"/>
        <a:ext cx="93630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33</xdr:row>
      <xdr:rowOff>76200</xdr:rowOff>
    </xdr:from>
    <xdr:to>
      <xdr:col>14</xdr:col>
      <xdr:colOff>495300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361950" y="5581650"/>
        <a:ext cx="9420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30</xdr:row>
      <xdr:rowOff>47625</xdr:rowOff>
    </xdr:from>
    <xdr:to>
      <xdr:col>25</xdr:col>
      <xdr:colOff>276225</xdr:colOff>
      <xdr:row>31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7640300" y="5067300"/>
          <a:ext cx="123825" cy="114300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381000</xdr:colOff>
      <xdr:row>13</xdr:row>
      <xdr:rowOff>47625</xdr:rowOff>
    </xdr:from>
    <xdr:to>
      <xdr:col>53</xdr:col>
      <xdr:colOff>714375</xdr:colOff>
      <xdr:row>52</xdr:row>
      <xdr:rowOff>9525</xdr:rowOff>
    </xdr:to>
    <xdr:graphicFrame>
      <xdr:nvGraphicFramePr>
        <xdr:cNvPr id="1" name="Gráfico 136"/>
        <xdr:cNvGraphicFramePr/>
      </xdr:nvGraphicFramePr>
      <xdr:xfrm>
        <a:off x="9525000" y="2219325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314325</xdr:colOff>
      <xdr:row>19</xdr:row>
      <xdr:rowOff>85725</xdr:rowOff>
    </xdr:from>
    <xdr:to>
      <xdr:col>50</xdr:col>
      <xdr:colOff>190500</xdr:colOff>
      <xdr:row>22</xdr:row>
      <xdr:rowOff>47625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7840325" y="3238500"/>
          <a:ext cx="14001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Costo Marginal </a:t>
          </a:r>
        </a:p>
      </xdr:txBody>
    </xdr:sp>
    <xdr:clientData/>
  </xdr:twoCellAnchor>
  <xdr:twoCellAnchor>
    <xdr:from>
      <xdr:col>50</xdr:col>
      <xdr:colOff>762000</xdr:colOff>
      <xdr:row>19</xdr:row>
      <xdr:rowOff>28575</xdr:rowOff>
    </xdr:from>
    <xdr:to>
      <xdr:col>52</xdr:col>
      <xdr:colOff>638175</xdr:colOff>
      <xdr:row>21</xdr:row>
      <xdr:rowOff>161925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9812000" y="3181350"/>
          <a:ext cx="1400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Tarifa en Barra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50</xdr:row>
      <xdr:rowOff>142875</xdr:rowOff>
    </xdr:from>
    <xdr:to>
      <xdr:col>14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542925" y="8496300"/>
        <a:ext cx="9315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68</xdr:row>
      <xdr:rowOff>104775</xdr:rowOff>
    </xdr:from>
    <xdr:to>
      <xdr:col>14</xdr:col>
      <xdr:colOff>428625</xdr:colOff>
      <xdr:row>87</xdr:row>
      <xdr:rowOff>104775</xdr:rowOff>
    </xdr:to>
    <xdr:graphicFrame>
      <xdr:nvGraphicFramePr>
        <xdr:cNvPr id="2" name="Chart 2"/>
        <xdr:cNvGraphicFramePr/>
      </xdr:nvGraphicFramePr>
      <xdr:xfrm>
        <a:off x="571500" y="11372850"/>
        <a:ext cx="9286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32</xdr:row>
      <xdr:rowOff>123825</xdr:rowOff>
    </xdr:from>
    <xdr:to>
      <xdr:col>14</xdr:col>
      <xdr:colOff>419100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561975" y="5562600"/>
        <a:ext cx="92868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28</xdr:row>
      <xdr:rowOff>47625</xdr:rowOff>
    </xdr:from>
    <xdr:to>
      <xdr:col>25</xdr:col>
      <xdr:colOff>276225</xdr:colOff>
      <xdr:row>29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783175" y="4838700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</cdr:y>
    </cdr:from>
    <cdr:to>
      <cdr:x>0.50825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81350" y="1733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0.87875</cdr:x>
      <cdr:y>0.26125</cdr:y>
    </cdr:from>
    <cdr:to>
      <cdr:x>0.87875</cdr:x>
      <cdr:y>0.26125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29275" y="904875"/>
          <a:ext cx="0" cy="0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 MEDIO</a:t>
          </a:r>
        </a:p>
      </cdr:txBody>
    </cdr:sp>
  </cdr:relSizeAnchor>
  <cdr:relSizeAnchor xmlns:cdr="http://schemas.openxmlformats.org/drawingml/2006/chartDrawing">
    <cdr:from>
      <cdr:x>0.792</cdr:x>
      <cdr:y>0.4655</cdr:y>
    </cdr:from>
    <cdr:to>
      <cdr:x>0.89025</cdr:x>
      <cdr:y>0.5225</cdr:y>
    </cdr:to>
    <cdr:sp>
      <cdr:nvSpPr>
        <cdr:cNvPr id="3" name="Text Box 5"/>
        <cdr:cNvSpPr txBox="1">
          <a:spLocks noChangeArrowheads="1"/>
        </cdr:cNvSpPr>
      </cdr:nvSpPr>
      <cdr:spPr>
        <a:xfrm>
          <a:off x="5076825" y="160972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Térmica</a:t>
          </a:r>
        </a:p>
      </cdr:txBody>
    </cdr:sp>
  </cdr:relSizeAnchor>
  <cdr:relSizeAnchor xmlns:cdr="http://schemas.openxmlformats.org/drawingml/2006/chartDrawing">
    <cdr:from>
      <cdr:x>0.792</cdr:x>
      <cdr:y>0.71325</cdr:y>
    </cdr:from>
    <cdr:to>
      <cdr:x>0.907</cdr:x>
      <cdr:y>0.7865</cdr:y>
    </cdr:to>
    <cdr:sp>
      <cdr:nvSpPr>
        <cdr:cNvPr id="4" name="Text Box 6"/>
        <cdr:cNvSpPr txBox="1">
          <a:spLocks noChangeArrowheads="1"/>
        </cdr:cNvSpPr>
      </cdr:nvSpPr>
      <cdr:spPr>
        <a:xfrm>
          <a:off x="5076825" y="2466975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Hidráulica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28575</xdr:rowOff>
    </xdr:from>
    <xdr:to>
      <xdr:col>9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466725" y="7248525"/>
        <a:ext cx="6410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33</xdr:row>
      <xdr:rowOff>38100</xdr:rowOff>
    </xdr:from>
    <xdr:to>
      <xdr:col>14</xdr:col>
      <xdr:colOff>57150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933450" y="5505450"/>
        <a:ext cx="8134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53</xdr:row>
      <xdr:rowOff>123825</xdr:rowOff>
    </xdr:from>
    <xdr:to>
      <xdr:col>14</xdr:col>
      <xdr:colOff>38100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923925" y="8829675"/>
        <a:ext cx="81248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72</xdr:row>
      <xdr:rowOff>28575</xdr:rowOff>
    </xdr:from>
    <xdr:to>
      <xdr:col>14</xdr:col>
      <xdr:colOff>9525</xdr:colOff>
      <xdr:row>90</xdr:row>
      <xdr:rowOff>38100</xdr:rowOff>
    </xdr:to>
    <xdr:graphicFrame>
      <xdr:nvGraphicFramePr>
        <xdr:cNvPr id="3" name="Chart 3"/>
        <xdr:cNvGraphicFramePr/>
      </xdr:nvGraphicFramePr>
      <xdr:xfrm>
        <a:off x="876300" y="11811000"/>
        <a:ext cx="81438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152400</xdr:colOff>
      <xdr:row>43</xdr:row>
      <xdr:rowOff>47625</xdr:rowOff>
    </xdr:from>
    <xdr:to>
      <xdr:col>24</xdr:col>
      <xdr:colOff>276225</xdr:colOff>
      <xdr:row>44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7106900" y="7134225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142875</xdr:rowOff>
    </xdr:from>
    <xdr:to>
      <xdr:col>9</xdr:col>
      <xdr:colOff>0</xdr:colOff>
      <xdr:row>67</xdr:row>
      <xdr:rowOff>28575</xdr:rowOff>
    </xdr:to>
    <xdr:graphicFrame>
      <xdr:nvGraphicFramePr>
        <xdr:cNvPr id="1" name="Chart 3"/>
        <xdr:cNvGraphicFramePr/>
      </xdr:nvGraphicFramePr>
      <xdr:xfrm>
        <a:off x="314325" y="8601075"/>
        <a:ext cx="7724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38</xdr:row>
      <xdr:rowOff>104775</xdr:rowOff>
    </xdr:from>
    <xdr:to>
      <xdr:col>10</xdr:col>
      <xdr:colOff>381000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42950" y="6362700"/>
        <a:ext cx="8191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61</xdr:row>
      <xdr:rowOff>76200</xdr:rowOff>
    </xdr:from>
    <xdr:to>
      <xdr:col>10</xdr:col>
      <xdr:colOff>371475</xdr:colOff>
      <xdr:row>84</xdr:row>
      <xdr:rowOff>76200</xdr:rowOff>
    </xdr:to>
    <xdr:graphicFrame>
      <xdr:nvGraphicFramePr>
        <xdr:cNvPr id="2" name="Chart 2"/>
        <xdr:cNvGraphicFramePr/>
      </xdr:nvGraphicFramePr>
      <xdr:xfrm>
        <a:off x="695325" y="10058400"/>
        <a:ext cx="822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38</xdr:row>
      <xdr:rowOff>47625</xdr:rowOff>
    </xdr:from>
    <xdr:to>
      <xdr:col>10</xdr:col>
      <xdr:colOff>200025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609600" y="6381750"/>
        <a:ext cx="8115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60</xdr:row>
      <xdr:rowOff>152400</xdr:rowOff>
    </xdr:from>
    <xdr:to>
      <xdr:col>10</xdr:col>
      <xdr:colOff>219075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638175" y="10048875"/>
        <a:ext cx="81057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D2%20N%20Evol.%20Pot.%20Instalada-1995%20-%202013_P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E2%20N%20Evol.%20Pot.%20Efectiva-1995%20-%202013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Correcciones%20para%20Anuario%202011\G2.N%20Evol.%20Producci&#243;n-1995%20-%202013_Pre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L3%20Evol_Precio%20Medio-1995%20-%202013_Pre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.18%20Evol%20CMg%20y%20TBarra%2020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%2017%20Inversiones%201990-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ap.%2010%20Excel\10%2017%20Inversiones%201990-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ANUARIOS\ANUARIO%202010\CAP%2010\10%2017%20Inversiones%201990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 - POTENCIA"/>
      <sheetName val="Desagregado"/>
    </sheetNames>
    <sheetDataSet>
      <sheetData sheetId="1"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agregado"/>
    </sheetNames>
    <sheetDataSet>
      <sheetData sheetId="0">
        <row r="17">
          <cell r="N17">
            <v>0.7</v>
          </cell>
        </row>
        <row r="18">
          <cell r="N18">
            <v>0.7</v>
          </cell>
        </row>
        <row r="19">
          <cell r="N19">
            <v>0.7</v>
          </cell>
        </row>
        <row r="20">
          <cell r="N20">
            <v>0.7</v>
          </cell>
        </row>
        <row r="21">
          <cell r="N21">
            <v>0.7</v>
          </cell>
        </row>
        <row r="22">
          <cell r="N22">
            <v>0.7</v>
          </cell>
        </row>
        <row r="23">
          <cell r="N23">
            <v>0.7</v>
          </cell>
        </row>
        <row r="24">
          <cell r="N24">
            <v>0.7</v>
          </cell>
        </row>
        <row r="25">
          <cell r="N25">
            <v>0.7</v>
          </cell>
        </row>
        <row r="26">
          <cell r="N26">
            <v>0.7</v>
          </cell>
        </row>
        <row r="27">
          <cell r="N27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"/>
      <sheetName val="Desagregado"/>
      <sheetName val="Hoja1"/>
    </sheetNames>
    <sheetDataSet>
      <sheetData sheetId="1">
        <row r="8">
          <cell r="N8" t="str">
            <v>---</v>
          </cell>
        </row>
        <row r="9">
          <cell r="N9">
            <v>0.41</v>
          </cell>
        </row>
        <row r="10">
          <cell r="N10">
            <v>0.5556559999999999</v>
          </cell>
        </row>
        <row r="11">
          <cell r="N11">
            <v>0.52644</v>
          </cell>
        </row>
        <row r="12">
          <cell r="N12">
            <v>0.62458</v>
          </cell>
        </row>
        <row r="13">
          <cell r="N13">
            <v>0.8457</v>
          </cell>
        </row>
        <row r="16">
          <cell r="N16">
            <v>1.2264000000000002</v>
          </cell>
        </row>
        <row r="17">
          <cell r="N17">
            <v>1.2264000000000002</v>
          </cell>
        </row>
        <row r="18">
          <cell r="N18">
            <v>1.2264000000000002</v>
          </cell>
        </row>
        <row r="19">
          <cell r="N19">
            <v>1.2264000000000002</v>
          </cell>
        </row>
        <row r="20">
          <cell r="N20">
            <v>1.2264000000000002</v>
          </cell>
        </row>
        <row r="21">
          <cell r="N21">
            <v>1.2264000000000002</v>
          </cell>
        </row>
        <row r="22">
          <cell r="N22">
            <v>1.2264000000000002</v>
          </cell>
        </row>
        <row r="23">
          <cell r="N23">
            <v>1.2264000000000004</v>
          </cell>
        </row>
        <row r="24">
          <cell r="N24">
            <v>1.2264000000000002</v>
          </cell>
        </row>
        <row r="25">
          <cell r="N25">
            <v>1.2264000000000002</v>
          </cell>
        </row>
        <row r="26">
          <cell r="N26">
            <v>1.2264000000000004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 -PRECIOMEDIO"/>
      <sheetName val="desagregados"/>
      <sheetName val="Hoja 2"/>
    </sheetNames>
    <sheetDataSet>
      <sheetData sheetId="1">
        <row r="38">
          <cell r="B38">
            <v>8.955560685264611</v>
          </cell>
          <cell r="C38">
            <v>5.535737559334477</v>
          </cell>
          <cell r="H38">
            <v>10.148610371781364</v>
          </cell>
        </row>
        <row r="39">
          <cell r="B39">
            <v>9.377457321378525</v>
          </cell>
          <cell r="C39">
            <v>5.959296987167691</v>
          </cell>
          <cell r="H39">
            <v>10.37984664865154</v>
          </cell>
        </row>
        <row r="40">
          <cell r="B40">
            <v>9.163588512282493</v>
          </cell>
          <cell r="C40">
            <v>5.726537264889491</v>
          </cell>
          <cell r="H40">
            <v>10.146978053246057</v>
          </cell>
        </row>
        <row r="41">
          <cell r="B41">
            <v>7.957160935688618</v>
          </cell>
          <cell r="C41">
            <v>5.048646397780676</v>
          </cell>
          <cell r="H41">
            <v>8.753240333635766</v>
          </cell>
        </row>
        <row r="42">
          <cell r="B42">
            <v>7.632021028288909</v>
          </cell>
          <cell r="C42">
            <v>5.071850676679181</v>
          </cell>
          <cell r="H42">
            <v>8.306642636464446</v>
          </cell>
        </row>
        <row r="43">
          <cell r="B43">
            <v>8.0465527241033</v>
          </cell>
          <cell r="C43">
            <v>5.3360143471179855</v>
          </cell>
          <cell r="H43">
            <v>8.806339535814676</v>
          </cell>
        </row>
        <row r="44">
          <cell r="B44">
            <v>8.198076063917068</v>
          </cell>
          <cell r="C44">
            <v>5.431810353536078</v>
          </cell>
          <cell r="H44">
            <v>8.794973611182401</v>
          </cell>
        </row>
        <row r="45">
          <cell r="B45">
            <v>7.758352080828165</v>
          </cell>
          <cell r="C45">
            <v>5.163988884999389</v>
          </cell>
          <cell r="H45">
            <v>8.290526011852268</v>
          </cell>
        </row>
        <row r="46">
          <cell r="B46">
            <v>7.971753161907678</v>
          </cell>
          <cell r="C46">
            <v>5.315913767730283</v>
          </cell>
          <cell r="H46">
            <v>8.439546821933085</v>
          </cell>
        </row>
        <row r="47">
          <cell r="B47">
            <v>8.22302317700895</v>
          </cell>
          <cell r="C47">
            <v>5.3901465775055355</v>
          </cell>
          <cell r="H47">
            <v>8.674201605419087</v>
          </cell>
        </row>
        <row r="48">
          <cell r="B48">
            <v>8.888491459581944</v>
          </cell>
          <cell r="C48">
            <v>5.650701414642656</v>
          </cell>
          <cell r="H48">
            <v>9.400777808861907</v>
          </cell>
        </row>
        <row r="49">
          <cell r="B49">
            <v>8.702584077848925</v>
          </cell>
          <cell r="C49">
            <v>5.43744844190284</v>
          </cell>
          <cell r="H49">
            <v>9.20541981902347</v>
          </cell>
        </row>
        <row r="50">
          <cell r="B50">
            <v>8.684354506431966</v>
          </cell>
          <cell r="C50">
            <v>5.4423840053332935</v>
          </cell>
          <cell r="H50">
            <v>9.093906057369018</v>
          </cell>
        </row>
        <row r="51">
          <cell r="B51">
            <v>9.210201127006314</v>
          </cell>
          <cell r="C51">
            <v>6.228330130971453</v>
          </cell>
          <cell r="H51">
            <v>9.563809357904866</v>
          </cell>
        </row>
        <row r="52">
          <cell r="B52">
            <v>9.834767034288422</v>
          </cell>
          <cell r="C52">
            <v>6.573199512560988</v>
          </cell>
          <cell r="H52">
            <v>10.220209425572106</v>
          </cell>
        </row>
        <row r="53">
          <cell r="B53">
            <v>10.118555763056673</v>
          </cell>
          <cell r="C53">
            <v>6.943416370742706</v>
          </cell>
          <cell r="H53">
            <v>10.459527312900395</v>
          </cell>
        </row>
        <row r="71">
          <cell r="B71">
            <v>4.2445573090579085</v>
          </cell>
        </row>
        <row r="72">
          <cell r="B72">
            <v>4.5448535324028105</v>
          </cell>
        </row>
        <row r="73">
          <cell r="B73">
            <v>5.212117520815096</v>
          </cell>
        </row>
        <row r="74">
          <cell r="B74">
            <v>4.8931747664703975</v>
          </cell>
        </row>
        <row r="75">
          <cell r="B75">
            <v>4.861602607536183</v>
          </cell>
        </row>
        <row r="76">
          <cell r="B76">
            <v>5.164795484263344</v>
          </cell>
        </row>
        <row r="77">
          <cell r="B77">
            <v>4.531755939031402</v>
          </cell>
        </row>
        <row r="78">
          <cell r="B78">
            <v>4.541729686255704</v>
          </cell>
        </row>
        <row r="79">
          <cell r="B79">
            <v>4.470113199324197</v>
          </cell>
        </row>
        <row r="80">
          <cell r="B80">
            <v>5.176227190061146</v>
          </cell>
        </row>
        <row r="81">
          <cell r="B81">
            <v>5.541607608090972</v>
          </cell>
        </row>
        <row r="82">
          <cell r="B82">
            <v>5.581447756240201</v>
          </cell>
        </row>
        <row r="83">
          <cell r="B83">
            <v>5.420095140533965</v>
          </cell>
        </row>
        <row r="84">
          <cell r="B84">
            <v>6.703677483775019</v>
          </cell>
        </row>
        <row r="85">
          <cell r="B85">
            <v>5.653760327009893</v>
          </cell>
        </row>
        <row r="86">
          <cell r="B86">
            <v>5.403780946168652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18 - 2011"/>
    </sheetNames>
    <sheetDataSet>
      <sheetData sheetId="0">
        <row r="8">
          <cell r="B8">
            <v>2006</v>
          </cell>
          <cell r="C8" t="str">
            <v>Ene</v>
          </cell>
          <cell r="D8">
            <v>38718</v>
          </cell>
          <cell r="I8">
            <v>30.901376053108024</v>
          </cell>
          <cell r="J8">
            <v>29.40772803047325</v>
          </cell>
        </row>
        <row r="9">
          <cell r="C9" t="str">
            <v>Feb</v>
          </cell>
          <cell r="I9">
            <v>30.788158530649426</v>
          </cell>
          <cell r="J9">
            <v>38.38144406063898</v>
          </cell>
        </row>
        <row r="10">
          <cell r="C10" t="str">
            <v>Mar</v>
          </cell>
          <cell r="D10">
            <v>38777</v>
          </cell>
          <cell r="I10">
            <v>30.163043478260867</v>
          </cell>
          <cell r="J10">
            <v>24.06367786693817</v>
          </cell>
        </row>
        <row r="11">
          <cell r="C11" t="str">
            <v>Abr</v>
          </cell>
          <cell r="I11">
            <v>30.344202898550723</v>
          </cell>
          <cell r="J11">
            <v>38.66997182864721</v>
          </cell>
        </row>
        <row r="12">
          <cell r="C12" t="str">
            <v>May</v>
          </cell>
          <cell r="D12">
            <v>38838</v>
          </cell>
          <cell r="I12">
            <v>29.25181428961832</v>
          </cell>
          <cell r="J12">
            <v>111.05844679191331</v>
          </cell>
        </row>
        <row r="13">
          <cell r="C13" t="str">
            <v>Jun</v>
          </cell>
          <cell r="I13">
            <v>29.54196319018405</v>
          </cell>
          <cell r="J13">
            <v>87.92642426074755</v>
          </cell>
        </row>
        <row r="14">
          <cell r="C14" t="str">
            <v>Jul</v>
          </cell>
          <cell r="D14">
            <v>38899</v>
          </cell>
          <cell r="I14">
            <v>29.592905613818633</v>
          </cell>
          <cell r="J14">
            <v>90.6501522206333</v>
          </cell>
        </row>
        <row r="15">
          <cell r="C15" t="str">
            <v>Ago</v>
          </cell>
          <cell r="I15">
            <v>29.723850663375504</v>
          </cell>
          <cell r="J15">
            <v>105.91767689295897</v>
          </cell>
        </row>
        <row r="16">
          <cell r="C16" t="str">
            <v>Sep</v>
          </cell>
          <cell r="D16">
            <v>38961</v>
          </cell>
          <cell r="I16">
            <v>29.693600000000004</v>
          </cell>
          <cell r="J16">
            <v>149.80447419401784</v>
          </cell>
        </row>
        <row r="17">
          <cell r="C17" t="str">
            <v>Oct</v>
          </cell>
          <cell r="I17">
            <v>29.954912935323385</v>
          </cell>
          <cell r="J17">
            <v>71.89333155684525</v>
          </cell>
        </row>
        <row r="18">
          <cell r="C18" t="str">
            <v>Nov</v>
          </cell>
          <cell r="D18">
            <v>39022</v>
          </cell>
          <cell r="I18">
            <v>27.964788681352772</v>
          </cell>
          <cell r="J18">
            <v>40.58693942513745</v>
          </cell>
        </row>
        <row r="19">
          <cell r="C19" t="str">
            <v>Dic</v>
          </cell>
          <cell r="I19">
            <v>28.103122577416325</v>
          </cell>
          <cell r="J19">
            <v>28.870515141267692</v>
          </cell>
        </row>
        <row r="20">
          <cell r="B20">
            <v>2007</v>
          </cell>
          <cell r="C20" t="str">
            <v>Ene</v>
          </cell>
          <cell r="D20">
            <v>39083</v>
          </cell>
          <cell r="I20">
            <v>28.13349591747421</v>
          </cell>
          <cell r="J20">
            <v>25.00159693658118</v>
          </cell>
        </row>
        <row r="21">
          <cell r="C21" t="str">
            <v>Feb</v>
          </cell>
          <cell r="I21">
            <v>28.2884214169279</v>
          </cell>
          <cell r="J21">
            <v>35.6319932875622</v>
          </cell>
        </row>
        <row r="22">
          <cell r="C22" t="str">
            <v>Mar</v>
          </cell>
          <cell r="D22">
            <v>39142</v>
          </cell>
          <cell r="I22">
            <v>28.35549135678392</v>
          </cell>
          <cell r="J22">
            <v>46.091712089068736</v>
          </cell>
        </row>
        <row r="23">
          <cell r="C23" t="str">
            <v>Abr</v>
          </cell>
          <cell r="I23">
            <v>28.31770895334174</v>
          </cell>
          <cell r="J23">
            <v>34.560456800320175</v>
          </cell>
        </row>
        <row r="24">
          <cell r="C24" t="str">
            <v>May</v>
          </cell>
          <cell r="D24">
            <v>39203</v>
          </cell>
          <cell r="I24">
            <v>29.08938582677165</v>
          </cell>
          <cell r="J24">
            <v>36.33041824035069</v>
          </cell>
        </row>
        <row r="25">
          <cell r="C25" t="str">
            <v>Jun</v>
          </cell>
          <cell r="I25">
            <v>29.23931839697065</v>
          </cell>
          <cell r="J25">
            <v>65.79240199842816</v>
          </cell>
        </row>
        <row r="26">
          <cell r="C26" t="str">
            <v>Jul</v>
          </cell>
          <cell r="D26">
            <v>39264</v>
          </cell>
          <cell r="I26">
            <v>29.177190762416952</v>
          </cell>
          <cell r="J26">
            <v>27.850818185593607</v>
          </cell>
        </row>
        <row r="27">
          <cell r="C27" t="str">
            <v>Ago</v>
          </cell>
          <cell r="I27">
            <v>30.829121087575086</v>
          </cell>
          <cell r="J27">
            <v>45.14206431882969</v>
          </cell>
        </row>
        <row r="28">
          <cell r="C28" t="str">
            <v>Set</v>
          </cell>
          <cell r="D28">
            <v>39326</v>
          </cell>
          <cell r="I28">
            <v>31.655794363459666</v>
          </cell>
          <cell r="J28">
            <v>34.50076580512299</v>
          </cell>
        </row>
        <row r="29">
          <cell r="C29" t="str">
            <v>Oct</v>
          </cell>
          <cell r="I29">
            <v>32.52585390260173</v>
          </cell>
          <cell r="J29">
            <v>35.540183591587734</v>
          </cell>
        </row>
        <row r="30">
          <cell r="C30" t="str">
            <v>Nov</v>
          </cell>
          <cell r="D30">
            <v>39387</v>
          </cell>
          <cell r="I30">
            <v>30.67458550533333</v>
          </cell>
          <cell r="J30">
            <v>29.52302410793754</v>
          </cell>
        </row>
        <row r="31">
          <cell r="C31" t="str">
            <v>Dic</v>
          </cell>
          <cell r="I31">
            <v>30.36143812479146</v>
          </cell>
          <cell r="J31">
            <v>44.13983291329466</v>
          </cell>
        </row>
        <row r="32">
          <cell r="B32">
            <v>2008</v>
          </cell>
          <cell r="C32" t="str">
            <v>Ene</v>
          </cell>
          <cell r="D32">
            <v>39448</v>
          </cell>
          <cell r="I32">
            <v>29.17281880862853</v>
          </cell>
          <cell r="J32">
            <v>17.40771362851168</v>
          </cell>
        </row>
        <row r="33">
          <cell r="C33" t="str">
            <v>Feb</v>
          </cell>
          <cell r="I33">
            <v>29.438852566678214</v>
          </cell>
          <cell r="J33">
            <v>18.357555582408352</v>
          </cell>
        </row>
        <row r="34">
          <cell r="C34" t="str">
            <v>Mar</v>
          </cell>
          <cell r="D34">
            <v>39508</v>
          </cell>
          <cell r="I34">
            <v>31.09450077203205</v>
          </cell>
          <cell r="J34">
            <v>20.894767206130403</v>
          </cell>
        </row>
        <row r="35">
          <cell r="C35" t="str">
            <v>Abr</v>
          </cell>
          <cell r="I35">
            <v>29.116926145212208</v>
          </cell>
          <cell r="J35">
            <v>20.902722086774013</v>
          </cell>
        </row>
        <row r="36">
          <cell r="C36" t="str">
            <v>May</v>
          </cell>
          <cell r="D36">
            <v>39569</v>
          </cell>
          <cell r="I36">
            <v>31.930685843868687</v>
          </cell>
          <cell r="J36">
            <v>47.86292999988126</v>
          </cell>
        </row>
        <row r="37">
          <cell r="C37" t="str">
            <v>Jun</v>
          </cell>
          <cell r="I37">
            <v>32.01472185642062</v>
          </cell>
          <cell r="J37">
            <v>154.36918105946012</v>
          </cell>
        </row>
        <row r="38">
          <cell r="C38" t="str">
            <v>Jul</v>
          </cell>
          <cell r="D38">
            <v>39630</v>
          </cell>
          <cell r="I38">
            <v>35.746655723286295</v>
          </cell>
          <cell r="J38">
            <v>235.95266523675375</v>
          </cell>
        </row>
        <row r="39">
          <cell r="C39" t="str">
            <v>Ago</v>
          </cell>
          <cell r="I39">
            <v>33.60951316867483</v>
          </cell>
          <cell r="J39">
            <v>195.68577868888678</v>
          </cell>
        </row>
        <row r="40">
          <cell r="C40" t="str">
            <v>Sep</v>
          </cell>
          <cell r="D40">
            <v>39692</v>
          </cell>
          <cell r="I40">
            <v>36.17518619213973</v>
          </cell>
          <cell r="J40">
            <v>185.208078276995</v>
          </cell>
        </row>
        <row r="41">
          <cell r="C41" t="str">
            <v>Oct</v>
          </cell>
          <cell r="I41">
            <v>34.78443786407766</v>
          </cell>
          <cell r="J41">
            <v>63.352966322254304</v>
          </cell>
        </row>
        <row r="42">
          <cell r="C42" t="str">
            <v>Nov</v>
          </cell>
          <cell r="D42">
            <v>39753</v>
          </cell>
          <cell r="I42">
            <v>34.70486286821705</v>
          </cell>
          <cell r="J42">
            <v>60.691667285829936</v>
          </cell>
        </row>
        <row r="43">
          <cell r="C43" t="str">
            <v>Dic</v>
          </cell>
          <cell r="I43">
            <v>31.275602291534053</v>
          </cell>
          <cell r="J43">
            <v>81.78173518817438</v>
          </cell>
        </row>
        <row r="44">
          <cell r="B44">
            <v>2009</v>
          </cell>
          <cell r="C44" t="str">
            <v>Ene</v>
          </cell>
          <cell r="D44">
            <v>39814</v>
          </cell>
          <cell r="I44">
            <v>31.036588279773156</v>
          </cell>
          <cell r="J44">
            <v>29.369348296897222</v>
          </cell>
        </row>
        <row r="45">
          <cell r="C45" t="str">
            <v>Feb</v>
          </cell>
          <cell r="I45">
            <v>30.418552322362345</v>
          </cell>
          <cell r="J45">
            <v>43.776457202765684</v>
          </cell>
        </row>
        <row r="46">
          <cell r="C46" t="str">
            <v>Mar</v>
          </cell>
          <cell r="D46">
            <v>39873</v>
          </cell>
          <cell r="I46">
            <v>33.13100124378769</v>
          </cell>
          <cell r="J46">
            <v>24.861875115715424</v>
          </cell>
        </row>
        <row r="47">
          <cell r="C47" t="str">
            <v>Abr</v>
          </cell>
          <cell r="I47">
            <v>34.91537949916526</v>
          </cell>
          <cell r="J47">
            <v>25.314508838819297</v>
          </cell>
        </row>
        <row r="48">
          <cell r="C48" t="str">
            <v>May</v>
          </cell>
          <cell r="D48">
            <v>39934</v>
          </cell>
          <cell r="I48">
            <v>32.33561311863859</v>
          </cell>
          <cell r="J48">
            <v>28.671329341947246</v>
          </cell>
        </row>
        <row r="49">
          <cell r="C49" t="str">
            <v>Jun</v>
          </cell>
          <cell r="I49">
            <v>32.015941547658585</v>
          </cell>
          <cell r="J49">
            <v>65.70413414587718</v>
          </cell>
        </row>
        <row r="50">
          <cell r="C50" t="str">
            <v>Jul</v>
          </cell>
          <cell r="D50">
            <v>39995</v>
          </cell>
          <cell r="I50">
            <v>32.27318379645129</v>
          </cell>
          <cell r="J50">
            <v>41.219335726861885</v>
          </cell>
        </row>
        <row r="51">
          <cell r="C51" t="str">
            <v>Ago</v>
          </cell>
          <cell r="I51">
            <v>32.17927955530267</v>
          </cell>
          <cell r="J51">
            <v>33.88069765499597</v>
          </cell>
        </row>
        <row r="52">
          <cell r="C52" t="str">
            <v>Set</v>
          </cell>
          <cell r="D52">
            <v>40057</v>
          </cell>
          <cell r="I52">
            <v>32.824956672443676</v>
          </cell>
          <cell r="J52">
            <v>36.22481115862637</v>
          </cell>
        </row>
        <row r="53">
          <cell r="C53" t="str">
            <v>Oct</v>
          </cell>
          <cell r="I53">
            <v>32.58774948382656</v>
          </cell>
          <cell r="J53">
            <v>19.78629317012173</v>
          </cell>
        </row>
        <row r="54">
          <cell r="C54" t="str">
            <v>Nov</v>
          </cell>
          <cell r="D54">
            <v>40118</v>
          </cell>
          <cell r="I54">
            <v>32.676973658837596</v>
          </cell>
          <cell r="J54">
            <v>20.371688329660614</v>
          </cell>
        </row>
        <row r="55">
          <cell r="C55" t="str">
            <v>Dic</v>
          </cell>
          <cell r="I55">
            <v>32.486805547806874</v>
          </cell>
          <cell r="J55">
            <v>17.24229191724363</v>
          </cell>
        </row>
        <row r="56">
          <cell r="B56">
            <v>2010</v>
          </cell>
          <cell r="C56" t="str">
            <v>Ene</v>
          </cell>
          <cell r="D56">
            <v>40179</v>
          </cell>
          <cell r="I56">
            <v>31.03709620964919</v>
          </cell>
          <cell r="J56">
            <v>23.151885461718962</v>
          </cell>
        </row>
        <row r="57">
          <cell r="C57" t="str">
            <v>Feb</v>
          </cell>
          <cell r="I57">
            <v>31.18763475906333</v>
          </cell>
          <cell r="J57">
            <v>24.548984941939395</v>
          </cell>
        </row>
        <row r="58">
          <cell r="C58" t="str">
            <v>Mar</v>
          </cell>
          <cell r="D58">
            <v>40238</v>
          </cell>
          <cell r="I58">
            <v>31.281781344350865</v>
          </cell>
          <cell r="J58">
            <v>21.96722285455707</v>
          </cell>
        </row>
        <row r="59">
          <cell r="C59" t="str">
            <v>Abr</v>
          </cell>
          <cell r="I59">
            <v>31.074499824499817</v>
          </cell>
          <cell r="J59">
            <v>16.604080594856992</v>
          </cell>
        </row>
        <row r="60">
          <cell r="C60" t="str">
            <v>May</v>
          </cell>
          <cell r="D60">
            <v>40299</v>
          </cell>
          <cell r="I60">
            <v>28.854054462649053</v>
          </cell>
          <cell r="J60">
            <v>18.16067968869995</v>
          </cell>
        </row>
        <row r="61">
          <cell r="C61" t="str">
            <v>Jun</v>
          </cell>
          <cell r="I61">
            <v>29.030086860826163</v>
          </cell>
          <cell r="J61">
            <v>20.432221464971622</v>
          </cell>
        </row>
        <row r="62">
          <cell r="C62" t="str">
            <v>Jul</v>
          </cell>
          <cell r="D62">
            <v>40360</v>
          </cell>
          <cell r="I62">
            <v>28.976286210362794</v>
          </cell>
          <cell r="J62">
            <v>19.881447155658215</v>
          </cell>
        </row>
        <row r="63">
          <cell r="C63" t="str">
            <v>Ago</v>
          </cell>
          <cell r="I63">
            <v>29.838833312807868</v>
          </cell>
          <cell r="J63">
            <v>22.893245224912185</v>
          </cell>
        </row>
        <row r="64">
          <cell r="C64" t="str">
            <v>Sep</v>
          </cell>
          <cell r="D64">
            <v>40422</v>
          </cell>
          <cell r="I64">
            <v>29.97020962856688</v>
          </cell>
          <cell r="J64">
            <v>23.84263865608131</v>
          </cell>
        </row>
        <row r="65">
          <cell r="C65" t="str">
            <v>Oct</v>
          </cell>
          <cell r="I65">
            <v>29.82208874234284</v>
          </cell>
          <cell r="J65">
            <v>24.228694081858677</v>
          </cell>
        </row>
        <row r="66">
          <cell r="C66" t="str">
            <v>Nov</v>
          </cell>
          <cell r="D66">
            <v>40483</v>
          </cell>
          <cell r="I66">
            <v>29.45626373195229</v>
          </cell>
          <cell r="J66">
            <v>23.101261189548914</v>
          </cell>
        </row>
        <row r="67">
          <cell r="C67" t="str">
            <v>Dic</v>
          </cell>
          <cell r="I67">
            <v>29.611042846151197</v>
          </cell>
          <cell r="J67">
            <v>18.75801322709556</v>
          </cell>
        </row>
        <row r="68">
          <cell r="B68">
            <v>2011</v>
          </cell>
          <cell r="C68" t="str">
            <v>Ene</v>
          </cell>
          <cell r="D68">
            <v>40544</v>
          </cell>
          <cell r="I68">
            <v>30.043206573370714</v>
          </cell>
          <cell r="J68">
            <v>17.567231399929128</v>
          </cell>
        </row>
        <row r="69">
          <cell r="C69" t="str">
            <v>Feb</v>
          </cell>
          <cell r="I69">
            <v>30.096525096525095</v>
          </cell>
          <cell r="J69">
            <v>21.742048887431082</v>
          </cell>
        </row>
        <row r="70">
          <cell r="C70" t="str">
            <v>Mar</v>
          </cell>
          <cell r="D70">
            <v>40603</v>
          </cell>
          <cell r="I70">
            <v>29.7948651601403</v>
          </cell>
          <cell r="J70">
            <v>21.626283545801094</v>
          </cell>
        </row>
        <row r="71">
          <cell r="C71" t="str">
            <v>Abr</v>
          </cell>
          <cell r="I71">
            <v>31.03474930087833</v>
          </cell>
          <cell r="J71">
            <v>17.915334479823386</v>
          </cell>
        </row>
        <row r="72">
          <cell r="C72" t="str">
            <v>May</v>
          </cell>
          <cell r="D72">
            <v>40664</v>
          </cell>
          <cell r="I72">
            <v>34.17484815402179</v>
          </cell>
          <cell r="J72">
            <v>18.787395083847304</v>
          </cell>
        </row>
        <row r="73">
          <cell r="C73" t="str">
            <v>Jun</v>
          </cell>
          <cell r="I73">
            <v>34.41270053030303</v>
          </cell>
          <cell r="J73">
            <v>25.855921760562026</v>
          </cell>
        </row>
        <row r="74">
          <cell r="C74" t="str">
            <v>Jul</v>
          </cell>
          <cell r="D74">
            <v>40725</v>
          </cell>
          <cell r="I74">
            <v>34.54493143099507</v>
          </cell>
          <cell r="J74">
            <v>20.447964669259296</v>
          </cell>
        </row>
        <row r="75">
          <cell r="C75" t="str">
            <v>Ago</v>
          </cell>
          <cell r="I75">
            <v>34.70464030542839</v>
          </cell>
          <cell r="J75">
            <v>31.513723552074428</v>
          </cell>
        </row>
        <row r="76">
          <cell r="C76" t="str">
            <v>Sep</v>
          </cell>
          <cell r="D76">
            <v>40787</v>
          </cell>
          <cell r="I76">
            <v>34.137619154946506</v>
          </cell>
          <cell r="J76">
            <v>33.62547725029322</v>
          </cell>
        </row>
        <row r="77">
          <cell r="C77" t="str">
            <v>Oct</v>
          </cell>
          <cell r="I77">
            <v>34.94813667389336</v>
          </cell>
          <cell r="J77">
            <v>27.061673246469805</v>
          </cell>
        </row>
        <row r="78">
          <cell r="C78" t="str">
            <v>Nov</v>
          </cell>
          <cell r="D78">
            <v>40848</v>
          </cell>
          <cell r="I78">
            <v>35.049972762345675</v>
          </cell>
          <cell r="J78">
            <v>28.576509854755177</v>
          </cell>
        </row>
        <row r="79">
          <cell r="C79" t="str">
            <v>Dic</v>
          </cell>
          <cell r="I79">
            <v>35.07008611719114</v>
          </cell>
          <cell r="J79">
            <v>21.572143903935988</v>
          </cell>
        </row>
        <row r="80">
          <cell r="B80">
            <v>2012</v>
          </cell>
          <cell r="C80" t="str">
            <v>Ene</v>
          </cell>
          <cell r="D80">
            <v>40909</v>
          </cell>
          <cell r="I80">
            <v>35.15859835952578</v>
          </cell>
          <cell r="J80">
            <v>20.92350333347204</v>
          </cell>
        </row>
        <row r="81">
          <cell r="C81" t="str">
            <v>Feb</v>
          </cell>
          <cell r="I81">
            <v>35.347147301769205</v>
          </cell>
          <cell r="J81">
            <v>23.281193717478597</v>
          </cell>
        </row>
        <row r="82">
          <cell r="C82" t="str">
            <v>Mar</v>
          </cell>
          <cell r="D82">
            <v>40969</v>
          </cell>
          <cell r="I82">
            <v>34.62244852036347</v>
          </cell>
          <cell r="J82">
            <v>38.16859054093418</v>
          </cell>
        </row>
        <row r="83">
          <cell r="C83" t="str">
            <v>Abr</v>
          </cell>
          <cell r="I83">
            <v>34.91061140900523</v>
          </cell>
          <cell r="J83">
            <v>26.67609135894014</v>
          </cell>
        </row>
        <row r="84">
          <cell r="C84" t="str">
            <v>May</v>
          </cell>
          <cell r="D84">
            <v>41030</v>
          </cell>
          <cell r="I84">
            <v>39.67506748428566</v>
          </cell>
          <cell r="J84">
            <v>27.17512871265191</v>
          </cell>
        </row>
        <row r="85">
          <cell r="C85" t="str">
            <v>Jun</v>
          </cell>
          <cell r="I85">
            <v>40.19873954823412</v>
          </cell>
          <cell r="J85">
            <v>45.522872757662974</v>
          </cell>
        </row>
        <row r="86">
          <cell r="C86" t="str">
            <v>Jul</v>
          </cell>
          <cell r="D86">
            <v>41091</v>
          </cell>
          <cell r="I86">
            <v>40.79313856611737</v>
          </cell>
          <cell r="J86">
            <v>58.048907123652945</v>
          </cell>
        </row>
        <row r="87">
          <cell r="C87" t="str">
            <v>Ago</v>
          </cell>
          <cell r="I87">
            <v>41.142627610925715</v>
          </cell>
          <cell r="J87">
            <v>35.09121231909898</v>
          </cell>
        </row>
        <row r="88">
          <cell r="C88" t="str">
            <v>Sep</v>
          </cell>
          <cell r="D88">
            <v>41153</v>
          </cell>
          <cell r="I88">
            <v>41.35552989479087</v>
          </cell>
          <cell r="J88">
            <v>36.409005151664</v>
          </cell>
        </row>
        <row r="89">
          <cell r="C89" t="str">
            <v>Oct</v>
          </cell>
          <cell r="I89">
            <v>41.45126028806584</v>
          </cell>
          <cell r="J89">
            <v>28.761055033613044</v>
          </cell>
        </row>
        <row r="90">
          <cell r="C90" t="str">
            <v>Nov</v>
          </cell>
          <cell r="D90">
            <v>41214</v>
          </cell>
          <cell r="I90">
            <v>41.493149799663954</v>
          </cell>
          <cell r="J90">
            <v>14.350125025801393</v>
          </cell>
        </row>
        <row r="91">
          <cell r="C91" t="str">
            <v>Dic</v>
          </cell>
          <cell r="I91">
            <v>41.883638294912814</v>
          </cell>
          <cell r="J91">
            <v>13.750358573352774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.17.1 Inversion Privada"/>
      <sheetName val="10.17.2 y 3 I Publica y Gub."/>
      <sheetName val="10.17.4 Evo.Graficos"/>
      <sheetName val="Vice"/>
    </sheetNames>
    <sheetDataSet>
      <sheetData sheetId="2">
        <row r="5">
          <cell r="AF5">
            <v>1990</v>
          </cell>
          <cell r="AG5">
            <v>1991</v>
          </cell>
          <cell r="AH5">
            <v>1992</v>
          </cell>
          <cell r="AI5">
            <v>1993</v>
          </cell>
          <cell r="AJ5">
            <v>1994</v>
          </cell>
          <cell r="AK5">
            <v>1995</v>
          </cell>
          <cell r="AL5">
            <v>1996</v>
          </cell>
          <cell r="AM5">
            <v>1997</v>
          </cell>
          <cell r="AN5">
            <v>1998</v>
          </cell>
          <cell r="AO5">
            <v>1999</v>
          </cell>
          <cell r="AP5">
            <v>2000</v>
          </cell>
          <cell r="AQ5">
            <v>2001</v>
          </cell>
          <cell r="AR5">
            <v>2002</v>
          </cell>
          <cell r="AS5">
            <v>2003</v>
          </cell>
          <cell r="AT5">
            <v>2004</v>
          </cell>
          <cell r="AU5">
            <v>2005</v>
          </cell>
          <cell r="AV5">
            <v>2006</v>
          </cell>
          <cell r="AW5">
            <v>2007</v>
          </cell>
          <cell r="AX5">
            <v>2008</v>
          </cell>
          <cell r="AY5">
            <v>2009</v>
          </cell>
          <cell r="AZ5">
            <v>2010</v>
          </cell>
          <cell r="BA5">
            <v>2011</v>
          </cell>
          <cell r="BB5">
            <v>2012</v>
          </cell>
        </row>
        <row r="6">
          <cell r="AE6" t="str">
            <v>Total</v>
          </cell>
          <cell r="AF6">
            <v>42.708</v>
          </cell>
          <cell r="AG6">
            <v>27.515</v>
          </cell>
          <cell r="AH6">
            <v>71.171</v>
          </cell>
          <cell r="AI6">
            <v>68.373</v>
          </cell>
          <cell r="AJ6">
            <v>66.006618</v>
          </cell>
          <cell r="AK6">
            <v>46.052738999999995</v>
          </cell>
          <cell r="AL6">
            <v>162.874897</v>
          </cell>
          <cell r="AM6">
            <v>342.77713100000005</v>
          </cell>
          <cell r="AN6">
            <v>364.88524100000006</v>
          </cell>
          <cell r="AO6">
            <v>416.783328</v>
          </cell>
          <cell r="AP6">
            <v>331.438</v>
          </cell>
          <cell r="AQ6">
            <v>95.10517999999999</v>
          </cell>
          <cell r="AR6">
            <v>95.518</v>
          </cell>
          <cell r="AS6">
            <v>78.1935</v>
          </cell>
          <cell r="AT6">
            <v>156.07822</v>
          </cell>
          <cell r="AU6">
            <v>192.31270999999998</v>
          </cell>
          <cell r="AV6">
            <v>279.31392</v>
          </cell>
          <cell r="AW6">
            <v>307.1913</v>
          </cell>
          <cell r="AX6">
            <v>469.077</v>
          </cell>
          <cell r="AY6">
            <v>426.132</v>
          </cell>
          <cell r="AZ6">
            <v>558.634</v>
          </cell>
          <cell r="BA6">
            <v>1240.7880652000001</v>
          </cell>
          <cell r="BB6" t="e">
            <v>#REF!</v>
          </cell>
        </row>
        <row r="7">
          <cell r="AE7" t="str">
            <v>Privada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31.47889</v>
          </cell>
          <cell r="AK7">
            <v>7.6346300000000005</v>
          </cell>
          <cell r="AL7">
            <v>97.60745999999999</v>
          </cell>
          <cell r="AM7">
            <v>239.53995500000002</v>
          </cell>
          <cell r="AN7">
            <v>250.346128</v>
          </cell>
          <cell r="AO7">
            <v>280.451419</v>
          </cell>
          <cell r="AP7">
            <v>208.222</v>
          </cell>
          <cell r="AQ7">
            <v>18.8281</v>
          </cell>
          <cell r="AR7">
            <v>17.72</v>
          </cell>
          <cell r="AS7">
            <v>11.088</v>
          </cell>
          <cell r="AT7">
            <v>89.077</v>
          </cell>
          <cell r="AU7">
            <v>138.546</v>
          </cell>
          <cell r="AV7">
            <v>250.116</v>
          </cell>
          <cell r="AW7">
            <v>233.692</v>
          </cell>
          <cell r="AX7">
            <v>442.564</v>
          </cell>
          <cell r="AY7">
            <v>337.283</v>
          </cell>
          <cell r="AZ7">
            <v>533.52</v>
          </cell>
          <cell r="BA7">
            <v>1212.1923652</v>
          </cell>
          <cell r="BB7" t="e">
            <v>#REF!</v>
          </cell>
        </row>
        <row r="8">
          <cell r="AE8" t="str">
            <v>Publica</v>
          </cell>
          <cell r="AF8">
            <v>42.708</v>
          </cell>
          <cell r="AG8">
            <v>27.515</v>
          </cell>
          <cell r="AH8">
            <v>71.171</v>
          </cell>
          <cell r="AI8">
            <v>68.373</v>
          </cell>
          <cell r="AJ8">
            <v>34.527728</v>
          </cell>
          <cell r="AK8">
            <v>38.418108999999994</v>
          </cell>
          <cell r="AL8">
            <v>65.267437</v>
          </cell>
          <cell r="AM8">
            <v>103.237176</v>
          </cell>
          <cell r="AN8">
            <v>114.53911300000001</v>
          </cell>
          <cell r="AO8">
            <v>136.331909</v>
          </cell>
          <cell r="AP8">
            <v>123.216</v>
          </cell>
          <cell r="AQ8">
            <v>76.27708</v>
          </cell>
          <cell r="AR8">
            <v>77.798</v>
          </cell>
          <cell r="AS8">
            <v>67.1055</v>
          </cell>
          <cell r="AT8">
            <v>67.00122</v>
          </cell>
          <cell r="AU8">
            <v>53.766709999999996</v>
          </cell>
          <cell r="AV8">
            <v>29.19792</v>
          </cell>
          <cell r="AW8">
            <v>73.49929999999999</v>
          </cell>
          <cell r="AX8">
            <v>26.513</v>
          </cell>
          <cell r="AY8">
            <v>88.849</v>
          </cell>
          <cell r="AZ8">
            <v>25.114</v>
          </cell>
          <cell r="BA8">
            <v>28.5957</v>
          </cell>
          <cell r="BB8" t="e">
            <v>#REF!</v>
          </cell>
        </row>
        <row r="10">
          <cell r="C10">
            <v>136.599</v>
          </cell>
          <cell r="D10">
            <v>114.859</v>
          </cell>
          <cell r="E10">
            <v>163.753</v>
          </cell>
          <cell r="F10">
            <v>174.408</v>
          </cell>
          <cell r="G10">
            <v>214.152598</v>
          </cell>
          <cell r="H10">
            <v>295.15262900000005</v>
          </cell>
          <cell r="I10">
            <v>508.703377</v>
          </cell>
          <cell r="J10">
            <v>593.516881</v>
          </cell>
          <cell r="K10">
            <v>612.5214309999999</v>
          </cell>
          <cell r="L10">
            <v>763.7302280118342</v>
          </cell>
          <cell r="M10">
            <v>652.989</v>
          </cell>
          <cell r="N10">
            <v>336.39697</v>
          </cell>
          <cell r="O10">
            <v>247.20600000000002</v>
          </cell>
          <cell r="P10">
            <v>226.411864</v>
          </cell>
          <cell r="Q10">
            <v>320.25719000000004</v>
          </cell>
          <cell r="R10">
            <v>392.53301</v>
          </cell>
          <cell r="S10">
            <v>469.89295000000004</v>
          </cell>
          <cell r="T10">
            <v>618.1507700000001</v>
          </cell>
          <cell r="U10">
            <v>847.5749999999999</v>
          </cell>
          <cell r="V10">
            <v>1154.282</v>
          </cell>
          <cell r="W10">
            <v>1367.7389999999998</v>
          </cell>
          <cell r="X10">
            <v>1879.9996652000002</v>
          </cell>
        </row>
        <row r="16">
          <cell r="C16">
            <v>1990</v>
          </cell>
          <cell r="D16">
            <v>1991</v>
          </cell>
          <cell r="E16">
            <v>1992</v>
          </cell>
          <cell r="F16">
            <v>1993</v>
          </cell>
          <cell r="G16">
            <v>1994</v>
          </cell>
          <cell r="H16">
            <v>1995</v>
          </cell>
          <cell r="I16">
            <v>1996</v>
          </cell>
          <cell r="J16">
            <v>1997</v>
          </cell>
          <cell r="K16">
            <v>1998</v>
          </cell>
          <cell r="L16">
            <v>1999</v>
          </cell>
          <cell r="M16">
            <v>2000</v>
          </cell>
          <cell r="N16">
            <v>2001</v>
          </cell>
          <cell r="O16">
            <v>2002</v>
          </cell>
          <cell r="P16">
            <v>2003</v>
          </cell>
          <cell r="Q16">
            <v>2004</v>
          </cell>
          <cell r="R16">
            <v>2005</v>
          </cell>
          <cell r="S16">
            <v>2006</v>
          </cell>
          <cell r="T16">
            <v>2007</v>
          </cell>
          <cell r="U16">
            <v>2008</v>
          </cell>
          <cell r="V16">
            <v>2009</v>
          </cell>
          <cell r="W16">
            <v>2010</v>
          </cell>
          <cell r="X16">
            <v>2011</v>
          </cell>
          <cell r="Y16">
            <v>2012</v>
          </cell>
          <cell r="Z16" t="str">
            <v>Total</v>
          </cell>
        </row>
        <row r="17">
          <cell r="B17" t="str">
            <v>Estatal</v>
          </cell>
          <cell r="C17">
            <v>136.599</v>
          </cell>
          <cell r="D17">
            <v>114.859</v>
          </cell>
          <cell r="E17">
            <v>163.753</v>
          </cell>
          <cell r="F17">
            <v>167.152</v>
          </cell>
          <cell r="G17">
            <v>79.38970800000001</v>
          </cell>
          <cell r="H17">
            <v>154.71299900000002</v>
          </cell>
          <cell r="I17">
            <v>176.976207</v>
          </cell>
          <cell r="J17">
            <v>207.88996600000002</v>
          </cell>
          <cell r="K17">
            <v>202.791343</v>
          </cell>
          <cell r="L17">
            <v>201.7245590118343</v>
          </cell>
          <cell r="M17">
            <v>165.989</v>
          </cell>
          <cell r="N17">
            <v>95.05868</v>
          </cell>
          <cell r="O17">
            <v>109.855</v>
          </cell>
          <cell r="P17">
            <v>110.83204</v>
          </cell>
          <cell r="Q17">
            <v>116.11542999999999</v>
          </cell>
          <cell r="R17">
            <v>117.40603</v>
          </cell>
          <cell r="S17">
            <v>95.7415</v>
          </cell>
          <cell r="T17">
            <v>139.71519999999998</v>
          </cell>
          <cell r="U17">
            <v>128.882</v>
          </cell>
          <cell r="V17">
            <v>249.981</v>
          </cell>
          <cell r="W17">
            <v>165.611</v>
          </cell>
          <cell r="X17">
            <v>106.9737</v>
          </cell>
          <cell r="Z17">
            <v>3208.0083620118344</v>
          </cell>
        </row>
        <row r="18">
          <cell r="B18" t="str">
            <v>Privada</v>
          </cell>
          <cell r="G18">
            <v>60.35389</v>
          </cell>
          <cell r="H18">
            <v>66.15163000000001</v>
          </cell>
          <cell r="I18">
            <v>195.77716999999998</v>
          </cell>
          <cell r="J18">
            <v>339.06891500000006</v>
          </cell>
          <cell r="K18">
            <v>358.24208799999997</v>
          </cell>
          <cell r="L18">
            <v>507.36566899999997</v>
          </cell>
          <cell r="M18">
            <v>433.589</v>
          </cell>
          <cell r="N18">
            <v>196.17129</v>
          </cell>
          <cell r="O18">
            <v>120.021</v>
          </cell>
          <cell r="P18">
            <v>72.15211000000001</v>
          </cell>
          <cell r="Q18">
            <v>165.06376</v>
          </cell>
          <cell r="R18">
            <v>229.88297999999998</v>
          </cell>
          <cell r="S18">
            <v>340.19845000000004</v>
          </cell>
          <cell r="T18">
            <v>388.50857</v>
          </cell>
          <cell r="U18">
            <v>619.206</v>
          </cell>
          <cell r="V18">
            <v>719.579</v>
          </cell>
          <cell r="W18">
            <v>978.752</v>
          </cell>
          <cell r="X18">
            <v>1641.7509652</v>
          </cell>
          <cell r="Z18">
            <v>7431.834487199999</v>
          </cell>
        </row>
        <row r="19">
          <cell r="B19" t="str">
            <v>Rural (*)</v>
          </cell>
          <cell r="C19">
            <v>0</v>
          </cell>
          <cell r="D19">
            <v>0</v>
          </cell>
          <cell r="E19">
            <v>0</v>
          </cell>
          <cell r="F19">
            <v>7.256</v>
          </cell>
          <cell r="G19">
            <v>74.409</v>
          </cell>
          <cell r="H19">
            <v>74.288</v>
          </cell>
          <cell r="I19">
            <v>135.95</v>
          </cell>
          <cell r="J19">
            <v>46.558</v>
          </cell>
          <cell r="K19">
            <v>51.488</v>
          </cell>
          <cell r="L19">
            <v>54.64</v>
          </cell>
          <cell r="M19">
            <v>53.411</v>
          </cell>
          <cell r="N19">
            <v>45.167</v>
          </cell>
          <cell r="O19">
            <v>17.33</v>
          </cell>
          <cell r="P19">
            <v>43.427714</v>
          </cell>
          <cell r="Q19">
            <v>39.078</v>
          </cell>
          <cell r="R19">
            <v>45.244</v>
          </cell>
          <cell r="S19">
            <v>33.953</v>
          </cell>
          <cell r="T19">
            <v>89.927</v>
          </cell>
          <cell r="U19">
            <v>99.487</v>
          </cell>
          <cell r="V19">
            <v>184.722</v>
          </cell>
          <cell r="W19">
            <v>223.376</v>
          </cell>
          <cell r="X19">
            <v>131.275</v>
          </cell>
          <cell r="Z19">
            <v>1450.9867140000001</v>
          </cell>
        </row>
        <row r="26">
          <cell r="AF26">
            <v>1990</v>
          </cell>
          <cell r="AG26">
            <v>1991</v>
          </cell>
          <cell r="AH26">
            <v>1992</v>
          </cell>
          <cell r="AI26">
            <v>1993</v>
          </cell>
          <cell r="AJ26">
            <v>1994</v>
          </cell>
          <cell r="AK26">
            <v>1995</v>
          </cell>
          <cell r="AL26">
            <v>1996</v>
          </cell>
          <cell r="AM26">
            <v>1997</v>
          </cell>
          <cell r="AN26">
            <v>1998</v>
          </cell>
          <cell r="AO26">
            <v>1999</v>
          </cell>
          <cell r="AP26">
            <v>2000</v>
          </cell>
          <cell r="AQ26">
            <v>2001</v>
          </cell>
          <cell r="AR26">
            <v>2002</v>
          </cell>
          <cell r="AS26">
            <v>2003</v>
          </cell>
          <cell r="AT26">
            <v>2004</v>
          </cell>
          <cell r="AU26">
            <v>2005</v>
          </cell>
          <cell r="AV26">
            <v>2006</v>
          </cell>
          <cell r="AW26">
            <v>2007</v>
          </cell>
          <cell r="AX26">
            <v>2008</v>
          </cell>
          <cell r="AY26">
            <v>2009</v>
          </cell>
          <cell r="AZ26">
            <v>2010</v>
          </cell>
          <cell r="BA26">
            <v>2011</v>
          </cell>
          <cell r="BB26">
            <v>2012</v>
          </cell>
        </row>
        <row r="27">
          <cell r="AE27" t="str">
            <v>Total</v>
          </cell>
          <cell r="AF27">
            <v>6.943</v>
          </cell>
          <cell r="AG27">
            <v>23.607</v>
          </cell>
          <cell r="AH27">
            <v>74.238</v>
          </cell>
          <cell r="AI27">
            <v>85.55</v>
          </cell>
          <cell r="AJ27">
            <v>73.40098</v>
          </cell>
          <cell r="AK27">
            <v>163.39924</v>
          </cell>
          <cell r="AL27">
            <v>193.27747999999997</v>
          </cell>
          <cell r="AM27">
            <v>171.46096999999997</v>
          </cell>
          <cell r="AN27">
            <v>136.50491999999997</v>
          </cell>
          <cell r="AO27">
            <v>121.50028001183432</v>
          </cell>
          <cell r="AP27">
            <v>139.201</v>
          </cell>
          <cell r="AQ27">
            <v>134.38179</v>
          </cell>
          <cell r="AR27">
            <v>96.701</v>
          </cell>
          <cell r="AS27">
            <v>91.96504</v>
          </cell>
          <cell r="AT27">
            <v>100.73511</v>
          </cell>
          <cell r="AU27">
            <v>134.3424</v>
          </cell>
          <cell r="AV27">
            <v>140.08258</v>
          </cell>
          <cell r="AW27">
            <v>151.39657</v>
          </cell>
          <cell r="AX27">
            <v>235.905</v>
          </cell>
          <cell r="AY27">
            <v>289.065</v>
          </cell>
          <cell r="AZ27">
            <v>253.172</v>
          </cell>
          <cell r="BA27">
            <v>229.3906</v>
          </cell>
        </row>
        <row r="28">
          <cell r="AE28" t="str">
            <v>Privada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28.875</v>
          </cell>
          <cell r="AK28">
            <v>58.517</v>
          </cell>
          <cell r="AL28">
            <v>98.16971</v>
          </cell>
          <cell r="AM28">
            <v>99.52896</v>
          </cell>
          <cell r="AN28">
            <v>94.40795999999999</v>
          </cell>
          <cell r="AO28">
            <v>87.42553</v>
          </cell>
          <cell r="AP28">
            <v>123.118</v>
          </cell>
          <cell r="AQ28">
            <v>118.71619</v>
          </cell>
          <cell r="AR28">
            <v>65.021</v>
          </cell>
          <cell r="AS28">
            <v>48.2385</v>
          </cell>
          <cell r="AT28">
            <v>51.6209</v>
          </cell>
          <cell r="AU28">
            <v>70.70308</v>
          </cell>
          <cell r="AV28">
            <v>73.539</v>
          </cell>
          <cell r="AW28">
            <v>85.18066999999999</v>
          </cell>
          <cell r="AX28">
            <v>133.536</v>
          </cell>
          <cell r="AY28">
            <v>127.933</v>
          </cell>
          <cell r="AZ28">
            <v>112.675</v>
          </cell>
          <cell r="BA28">
            <v>151.0126</v>
          </cell>
        </row>
        <row r="29">
          <cell r="AE29" t="str">
            <v>Publica</v>
          </cell>
          <cell r="AF29">
            <v>6.943</v>
          </cell>
          <cell r="AG29">
            <v>23.607</v>
          </cell>
          <cell r="AH29">
            <v>74.238</v>
          </cell>
          <cell r="AI29">
            <v>85.55</v>
          </cell>
          <cell r="AJ29">
            <v>44.525980000000004</v>
          </cell>
          <cell r="AK29">
            <v>104.88224000000001</v>
          </cell>
          <cell r="AL29">
            <v>95.10777</v>
          </cell>
          <cell r="AM29">
            <v>71.93200999999999</v>
          </cell>
          <cell r="AN29">
            <v>42.09695999999999</v>
          </cell>
          <cell r="AO29">
            <v>34.07475001183432</v>
          </cell>
          <cell r="AP29">
            <v>16.083</v>
          </cell>
          <cell r="AQ29">
            <v>15.665599999999998</v>
          </cell>
          <cell r="AR29">
            <v>31.68</v>
          </cell>
          <cell r="AS29">
            <v>43.72654</v>
          </cell>
          <cell r="AT29">
            <v>49.11421</v>
          </cell>
          <cell r="AU29">
            <v>63.63932</v>
          </cell>
          <cell r="AV29">
            <v>66.54358</v>
          </cell>
          <cell r="AW29">
            <v>66.21589999999999</v>
          </cell>
          <cell r="AX29">
            <v>102.369</v>
          </cell>
          <cell r="AY29">
            <v>161.132</v>
          </cell>
          <cell r="AZ29">
            <v>140.497</v>
          </cell>
          <cell r="BA29">
            <v>78.378</v>
          </cell>
        </row>
        <row r="32">
          <cell r="AF32">
            <v>1990</v>
          </cell>
          <cell r="AG32">
            <v>1991</v>
          </cell>
          <cell r="AH32">
            <v>1992</v>
          </cell>
          <cell r="AI32">
            <v>1993</v>
          </cell>
          <cell r="AJ32">
            <v>1994</v>
          </cell>
          <cell r="AK32">
            <v>1995</v>
          </cell>
          <cell r="AL32">
            <v>1996</v>
          </cell>
          <cell r="AM32">
            <v>1997</v>
          </cell>
          <cell r="AN32">
            <v>1998</v>
          </cell>
          <cell r="AO32">
            <v>1999</v>
          </cell>
          <cell r="AP32">
            <v>2000</v>
          </cell>
          <cell r="AQ32">
            <v>2001</v>
          </cell>
          <cell r="AR32">
            <v>2002</v>
          </cell>
          <cell r="AS32">
            <v>2003</v>
          </cell>
          <cell r="AT32">
            <v>2004</v>
          </cell>
          <cell r="AU32">
            <v>2005</v>
          </cell>
          <cell r="AV32">
            <v>2006</v>
          </cell>
          <cell r="AW32">
            <v>2007</v>
          </cell>
          <cell r="AX32">
            <v>2008</v>
          </cell>
          <cell r="AY32">
            <v>2009</v>
          </cell>
          <cell r="AZ32">
            <v>2010</v>
          </cell>
          <cell r="BA32">
            <v>2011</v>
          </cell>
          <cell r="BB32">
            <v>2012</v>
          </cell>
        </row>
        <row r="33">
          <cell r="AE33" t="str">
            <v>Total</v>
          </cell>
          <cell r="AF33">
            <v>86.948</v>
          </cell>
          <cell r="AG33">
            <v>63.737</v>
          </cell>
          <cell r="AH33">
            <v>18.344</v>
          </cell>
          <cell r="AI33">
            <v>13.229</v>
          </cell>
          <cell r="AJ33">
            <v>0.336</v>
          </cell>
          <cell r="AK33">
            <v>11.41265</v>
          </cell>
          <cell r="AL33">
            <v>16.601</v>
          </cell>
          <cell r="AM33">
            <v>32.72078</v>
          </cell>
          <cell r="AN33">
            <v>59.64327</v>
          </cell>
          <cell r="AO33">
            <v>170.80662</v>
          </cell>
          <cell r="AP33">
            <v>128.939</v>
          </cell>
          <cell r="AQ33">
            <v>61.743</v>
          </cell>
          <cell r="AR33">
            <v>37.657</v>
          </cell>
          <cell r="AS33">
            <v>12.825610000000001</v>
          </cell>
          <cell r="AT33">
            <v>24.36586</v>
          </cell>
          <cell r="AU33">
            <v>20.6339</v>
          </cell>
          <cell r="AV33">
            <v>16.54345</v>
          </cell>
          <cell r="AW33">
            <v>69.63589999999999</v>
          </cell>
          <cell r="AX33">
            <v>43.106</v>
          </cell>
          <cell r="AY33">
            <v>254.363</v>
          </cell>
          <cell r="AZ33">
            <v>332.557</v>
          </cell>
          <cell r="BA33">
            <v>278.546</v>
          </cell>
        </row>
        <row r="34">
          <cell r="AE34" t="str">
            <v>Privada</v>
          </cell>
          <cell r="AN34">
            <v>13.488</v>
          </cell>
          <cell r="AO34">
            <v>139.48872</v>
          </cell>
          <cell r="AP34">
            <v>102.249</v>
          </cell>
          <cell r="AQ34">
            <v>58.627</v>
          </cell>
          <cell r="AR34">
            <v>37.28</v>
          </cell>
          <cell r="AS34">
            <v>12.825610000000001</v>
          </cell>
          <cell r="AT34">
            <v>24.36586</v>
          </cell>
          <cell r="AU34">
            <v>20.6339</v>
          </cell>
          <cell r="AV34">
            <v>16.54345</v>
          </cell>
          <cell r="AW34">
            <v>69.63589999999999</v>
          </cell>
          <cell r="AX34">
            <v>43.106</v>
          </cell>
          <cell r="AY34">
            <v>254.363</v>
          </cell>
          <cell r="AZ34">
            <v>332.557</v>
          </cell>
          <cell r="BA34">
            <v>278.546</v>
          </cell>
        </row>
        <row r="35">
          <cell r="AE35" t="str">
            <v>Publica</v>
          </cell>
          <cell r="AF35">
            <v>86.948</v>
          </cell>
          <cell r="AG35">
            <v>63.737</v>
          </cell>
          <cell r="AH35">
            <v>18.344</v>
          </cell>
          <cell r="AI35">
            <v>13.229</v>
          </cell>
          <cell r="AJ35">
            <v>0.336</v>
          </cell>
          <cell r="AK35">
            <v>11.41265</v>
          </cell>
          <cell r="AL35">
            <v>16.601</v>
          </cell>
          <cell r="AM35">
            <v>32.72078</v>
          </cell>
          <cell r="AN35">
            <v>46.15527</v>
          </cell>
          <cell r="AO35">
            <v>31.3179</v>
          </cell>
          <cell r="AP35">
            <v>26.69</v>
          </cell>
          <cell r="AQ35">
            <v>3.116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.17.1 Inversion Privada"/>
      <sheetName val="10.17.2 y 3 I Publica y Gub."/>
      <sheetName val="Vic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version Privada"/>
      <sheetName val="Inversion Publica y Gub."/>
      <sheetName val="Evo.Graficos"/>
      <sheetName val="V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5"/>
  <sheetViews>
    <sheetView view="pageBreakPreview" zoomScaleSheetLayoutView="100" zoomScalePageLayoutView="0" workbookViewId="0" topLeftCell="A25">
      <selection activeCell="A56" sqref="A56"/>
    </sheetView>
  </sheetViews>
  <sheetFormatPr defaultColWidth="11.421875" defaultRowHeight="12.75"/>
  <cols>
    <col min="1" max="1" width="4.28125" style="283" customWidth="1"/>
    <col min="2" max="2" width="21.421875" style="283" customWidth="1"/>
    <col min="3" max="3" width="11.421875" style="283" customWidth="1"/>
    <col min="4" max="4" width="9.140625" style="283" bestFit="1" customWidth="1"/>
    <col min="5" max="6" width="8.57421875" style="283" customWidth="1"/>
    <col min="7" max="7" width="8.00390625" style="283" customWidth="1"/>
    <col min="8" max="8" width="11.140625" style="283" customWidth="1"/>
    <col min="9" max="9" width="11.7109375" style="283" customWidth="1"/>
    <col min="10" max="11" width="9.28125" style="283" customWidth="1"/>
    <col min="12" max="12" width="7.28125" style="283" customWidth="1"/>
    <col min="13" max="13" width="9.28125" style="283" customWidth="1"/>
    <col min="14" max="14" width="9.8515625" style="283" customWidth="1"/>
    <col min="15" max="15" width="8.7109375" style="283" customWidth="1"/>
    <col min="16" max="16384" width="11.421875" style="283" customWidth="1"/>
  </cols>
  <sheetData>
    <row r="2" ht="18">
      <c r="A2" s="11" t="s">
        <v>74</v>
      </c>
    </row>
    <row r="4" spans="2:15" ht="15">
      <c r="B4" s="284"/>
      <c r="C4" s="284"/>
      <c r="D4" s="284"/>
      <c r="E4" s="284"/>
      <c r="F4" s="284"/>
      <c r="G4" s="284"/>
      <c r="H4" s="284"/>
      <c r="I4" s="284"/>
      <c r="J4" s="285"/>
      <c r="K4" s="285"/>
      <c r="L4" s="286"/>
      <c r="M4" s="286"/>
      <c r="N4" s="286"/>
      <c r="O4" s="286"/>
    </row>
    <row r="5" ht="13.5" thickBot="1">
      <c r="W5" s="283" t="s">
        <v>65</v>
      </c>
    </row>
    <row r="6" spans="2:25" ht="15.75" customHeight="1">
      <c r="B6" s="478"/>
      <c r="C6" s="479"/>
      <c r="D6" s="480" t="s">
        <v>13</v>
      </c>
      <c r="E6" s="481"/>
      <c r="F6" s="481"/>
      <c r="G6" s="481"/>
      <c r="H6" s="480" t="s">
        <v>14</v>
      </c>
      <c r="I6" s="481"/>
      <c r="J6" s="482"/>
      <c r="K6" s="482"/>
      <c r="L6" s="482"/>
      <c r="M6" s="480" t="s">
        <v>15</v>
      </c>
      <c r="N6" s="483"/>
      <c r="O6" s="484"/>
      <c r="R6" s="283" t="s">
        <v>0</v>
      </c>
      <c r="S6" s="283" t="s">
        <v>1</v>
      </c>
      <c r="T6" s="283" t="s">
        <v>2</v>
      </c>
      <c r="W6" s="287" t="s">
        <v>66</v>
      </c>
      <c r="X6" s="287" t="s">
        <v>3</v>
      </c>
      <c r="Y6" s="288" t="s">
        <v>67</v>
      </c>
    </row>
    <row r="7" spans="2:25" ht="13.5" thickBot="1">
      <c r="B7" s="485" t="s">
        <v>18</v>
      </c>
      <c r="C7" s="486" t="s">
        <v>0</v>
      </c>
      <c r="D7" s="487" t="s">
        <v>4</v>
      </c>
      <c r="E7" s="488" t="s">
        <v>5</v>
      </c>
      <c r="F7" s="488" t="s">
        <v>68</v>
      </c>
      <c r="G7" s="488" t="s">
        <v>6</v>
      </c>
      <c r="H7" s="489" t="s">
        <v>0</v>
      </c>
      <c r="I7" s="488" t="s">
        <v>4</v>
      </c>
      <c r="J7" s="488" t="s">
        <v>5</v>
      </c>
      <c r="K7" s="488" t="s">
        <v>68</v>
      </c>
      <c r="L7" s="488" t="s">
        <v>6</v>
      </c>
      <c r="M7" s="489" t="s">
        <v>0</v>
      </c>
      <c r="N7" s="490" t="s">
        <v>4</v>
      </c>
      <c r="O7" s="491" t="s">
        <v>5</v>
      </c>
      <c r="Q7" s="283">
        <v>1995</v>
      </c>
      <c r="R7" s="289">
        <f aca="true" t="shared" si="0" ref="R7:T23">C9</f>
        <v>4461.7</v>
      </c>
      <c r="S7" s="289">
        <f t="shared" si="0"/>
        <v>2479.4</v>
      </c>
      <c r="T7" s="289">
        <f t="shared" si="0"/>
        <v>1982.3</v>
      </c>
      <c r="W7" s="290">
        <v>1990</v>
      </c>
      <c r="X7" s="291" t="e">
        <f>#REF!</f>
        <v>#REF!</v>
      </c>
      <c r="Y7" s="292"/>
    </row>
    <row r="8" spans="2:25" ht="12.75">
      <c r="B8" s="293"/>
      <c r="C8" s="294"/>
      <c r="D8" s="295"/>
      <c r="E8" s="296"/>
      <c r="F8" s="296"/>
      <c r="G8" s="297"/>
      <c r="H8" s="298"/>
      <c r="I8" s="296"/>
      <c r="J8" s="296"/>
      <c r="K8" s="296"/>
      <c r="L8" s="297"/>
      <c r="M8" s="295"/>
      <c r="N8" s="299"/>
      <c r="O8" s="300"/>
      <c r="Q8" s="283">
        <v>1996</v>
      </c>
      <c r="R8" s="289">
        <f t="shared" si="0"/>
        <v>4662.605</v>
      </c>
      <c r="S8" s="289">
        <f t="shared" si="0"/>
        <v>2492.7239999999997</v>
      </c>
      <c r="T8" s="289">
        <f t="shared" si="0"/>
        <v>2169.6310000000003</v>
      </c>
      <c r="W8" s="290">
        <v>1995</v>
      </c>
      <c r="X8" s="291">
        <f aca="true" t="shared" si="1" ref="X8:X15">R7</f>
        <v>4461.7</v>
      </c>
      <c r="Y8" s="301" t="e">
        <f>(X8/#REF!)-1</f>
        <v>#REF!</v>
      </c>
    </row>
    <row r="9" spans="2:25" ht="12.75">
      <c r="B9" s="302">
        <v>1995</v>
      </c>
      <c r="C9" s="303">
        <f aca="true" t="shared" si="2" ref="C9:C25">SUM(D9:G9)</f>
        <v>4461.7</v>
      </c>
      <c r="D9" s="304">
        <f>SUM(I9,N9)</f>
        <v>2479.4</v>
      </c>
      <c r="E9" s="305">
        <f aca="true" t="shared" si="3" ref="E9:E25">SUM(J9,O9)</f>
        <v>1982.3</v>
      </c>
      <c r="F9" s="305"/>
      <c r="G9" s="306"/>
      <c r="H9" s="304">
        <f aca="true" t="shared" si="4" ref="H9:H25">SUM(I9:L9)</f>
        <v>3185.7</v>
      </c>
      <c r="I9" s="304">
        <v>2190</v>
      </c>
      <c r="J9" s="304">
        <v>995.7</v>
      </c>
      <c r="K9" s="304"/>
      <c r="L9" s="306"/>
      <c r="M9" s="304">
        <f aca="true" t="shared" si="5" ref="M9:M18">SUM(N9:O9)</f>
        <v>1276</v>
      </c>
      <c r="N9" s="307">
        <v>289.4</v>
      </c>
      <c r="O9" s="308">
        <v>986.5999999999999</v>
      </c>
      <c r="Q9" s="283">
        <v>1997</v>
      </c>
      <c r="R9" s="289">
        <f t="shared" si="0"/>
        <v>5192.498</v>
      </c>
      <c r="S9" s="289">
        <f t="shared" si="0"/>
        <v>2512.9939999999997</v>
      </c>
      <c r="T9" s="289">
        <f t="shared" si="0"/>
        <v>2679.254</v>
      </c>
      <c r="W9" s="290">
        <v>1996</v>
      </c>
      <c r="X9" s="291">
        <f>R8</f>
        <v>4662.605</v>
      </c>
      <c r="Y9" s="301">
        <f aca="true" t="shared" si="6" ref="Y9:Y15">(X9/X8)-1</f>
        <v>0.04502880068135462</v>
      </c>
    </row>
    <row r="10" spans="2:25" ht="12.75">
      <c r="B10" s="309">
        <v>1996</v>
      </c>
      <c r="C10" s="294">
        <f t="shared" si="2"/>
        <v>4662.605</v>
      </c>
      <c r="D10" s="295">
        <f aca="true" t="shared" si="7" ref="D10:D25">SUM(I10,N10)</f>
        <v>2492.7239999999997</v>
      </c>
      <c r="E10" s="310">
        <f t="shared" si="3"/>
        <v>2169.6310000000003</v>
      </c>
      <c r="F10" s="310"/>
      <c r="G10" s="311">
        <v>0.25</v>
      </c>
      <c r="H10" s="295">
        <f t="shared" si="4"/>
        <v>3352.881</v>
      </c>
      <c r="I10" s="295">
        <v>2200.1839999999997</v>
      </c>
      <c r="J10" s="295">
        <v>1152.4470000000001</v>
      </c>
      <c r="K10" s="295"/>
      <c r="L10" s="312">
        <v>0.25</v>
      </c>
      <c r="M10" s="295">
        <f t="shared" si="5"/>
        <v>1309.724</v>
      </c>
      <c r="N10" s="299">
        <v>292.54</v>
      </c>
      <c r="O10" s="300">
        <v>1017.184</v>
      </c>
      <c r="Q10" s="283">
        <v>1998</v>
      </c>
      <c r="R10" s="289">
        <f t="shared" si="0"/>
        <v>5515.29</v>
      </c>
      <c r="S10" s="289">
        <f t="shared" si="0"/>
        <v>2572.061</v>
      </c>
      <c r="T10" s="289">
        <f t="shared" si="0"/>
        <v>2942.979</v>
      </c>
      <c r="W10" s="290">
        <v>1997</v>
      </c>
      <c r="X10" s="291">
        <f t="shared" si="1"/>
        <v>5192.498</v>
      </c>
      <c r="Y10" s="301">
        <f t="shared" si="6"/>
        <v>0.1136474138384016</v>
      </c>
    </row>
    <row r="11" spans="2:25" ht="12.75">
      <c r="B11" s="302">
        <v>1997</v>
      </c>
      <c r="C11" s="303">
        <f t="shared" si="2"/>
        <v>5192.498</v>
      </c>
      <c r="D11" s="304">
        <f t="shared" si="7"/>
        <v>2512.9939999999997</v>
      </c>
      <c r="E11" s="313">
        <f t="shared" si="3"/>
        <v>2679.254</v>
      </c>
      <c r="F11" s="313"/>
      <c r="G11" s="314">
        <v>0.25</v>
      </c>
      <c r="H11" s="304">
        <f t="shared" si="4"/>
        <v>4325.021</v>
      </c>
      <c r="I11" s="304">
        <v>2411.519</v>
      </c>
      <c r="J11" s="304">
        <v>1913.252</v>
      </c>
      <c r="K11" s="304"/>
      <c r="L11" s="315">
        <v>0.25</v>
      </c>
      <c r="M11" s="304">
        <f t="shared" si="5"/>
        <v>867.477</v>
      </c>
      <c r="N11" s="307">
        <v>101.475</v>
      </c>
      <c r="O11" s="308">
        <v>766.002</v>
      </c>
      <c r="Q11" s="283">
        <v>1999</v>
      </c>
      <c r="R11" s="289">
        <f t="shared" si="0"/>
        <v>5742.428</v>
      </c>
      <c r="S11" s="289">
        <f t="shared" si="0"/>
        <v>2673.2799999999997</v>
      </c>
      <c r="T11" s="289">
        <f t="shared" si="0"/>
        <v>3068.4480000000003</v>
      </c>
      <c r="W11" s="290">
        <v>1998</v>
      </c>
      <c r="X11" s="291">
        <f t="shared" si="1"/>
        <v>5515.29</v>
      </c>
      <c r="Y11" s="301">
        <f t="shared" si="6"/>
        <v>0.062165069683223884</v>
      </c>
    </row>
    <row r="12" spans="2:25" ht="12.75">
      <c r="B12" s="309">
        <v>1998</v>
      </c>
      <c r="C12" s="294">
        <f t="shared" si="2"/>
        <v>5515.29</v>
      </c>
      <c r="D12" s="295">
        <f t="shared" si="7"/>
        <v>2572.061</v>
      </c>
      <c r="E12" s="310">
        <f t="shared" si="3"/>
        <v>2942.979</v>
      </c>
      <c r="F12" s="310"/>
      <c r="G12" s="311">
        <v>0.25</v>
      </c>
      <c r="H12" s="295">
        <f t="shared" si="4"/>
        <v>4632.328</v>
      </c>
      <c r="I12" s="295">
        <v>2467.416</v>
      </c>
      <c r="J12" s="295">
        <v>2164.6119999999996</v>
      </c>
      <c r="K12" s="295"/>
      <c r="L12" s="312">
        <v>0.3</v>
      </c>
      <c r="M12" s="295">
        <f t="shared" si="5"/>
        <v>883.0120000000001</v>
      </c>
      <c r="N12" s="299">
        <v>104.645</v>
      </c>
      <c r="O12" s="300">
        <v>778.3670000000001</v>
      </c>
      <c r="Q12" s="283">
        <v>2000</v>
      </c>
      <c r="R12" s="289">
        <f t="shared" si="0"/>
        <v>6066.189</v>
      </c>
      <c r="S12" s="289">
        <f t="shared" si="0"/>
        <v>2856.8250000000003</v>
      </c>
      <c r="T12" s="289">
        <f t="shared" si="0"/>
        <v>3208.664</v>
      </c>
      <c r="W12" s="290">
        <v>1999</v>
      </c>
      <c r="X12" s="291">
        <f t="shared" si="1"/>
        <v>5742.428</v>
      </c>
      <c r="Y12" s="301">
        <f t="shared" si="6"/>
        <v>0.04118332852850881</v>
      </c>
    </row>
    <row r="13" spans="2:25" ht="12.75">
      <c r="B13" s="302">
        <v>1999</v>
      </c>
      <c r="C13" s="303">
        <f t="shared" si="2"/>
        <v>5742.428</v>
      </c>
      <c r="D13" s="304">
        <f t="shared" si="7"/>
        <v>2673.2799999999997</v>
      </c>
      <c r="E13" s="313">
        <f t="shared" si="3"/>
        <v>3068.4480000000003</v>
      </c>
      <c r="F13" s="313"/>
      <c r="G13" s="314">
        <v>0.7</v>
      </c>
      <c r="H13" s="304">
        <f t="shared" si="4"/>
        <v>4828.2429999999995</v>
      </c>
      <c r="I13" s="304">
        <v>2587.129</v>
      </c>
      <c r="J13" s="304">
        <v>2240.414</v>
      </c>
      <c r="K13" s="304"/>
      <c r="L13" s="315">
        <v>0.7</v>
      </c>
      <c r="M13" s="304">
        <f t="shared" si="5"/>
        <v>914.185</v>
      </c>
      <c r="N13" s="307">
        <v>86.15099999999998</v>
      </c>
      <c r="O13" s="308">
        <v>828.034</v>
      </c>
      <c r="Q13" s="283">
        <v>2001</v>
      </c>
      <c r="R13" s="289">
        <f t="shared" si="0"/>
        <v>5906.693</v>
      </c>
      <c r="S13" s="289">
        <f t="shared" si="0"/>
        <v>2966.328</v>
      </c>
      <c r="T13" s="289">
        <f t="shared" si="0"/>
        <v>2939.665</v>
      </c>
      <c r="W13" s="290">
        <v>2000</v>
      </c>
      <c r="X13" s="316">
        <f t="shared" si="1"/>
        <v>6066.189</v>
      </c>
      <c r="Y13" s="301">
        <f t="shared" si="6"/>
        <v>0.05638050664283467</v>
      </c>
    </row>
    <row r="14" spans="2:25" ht="12.75">
      <c r="B14" s="309">
        <v>2000</v>
      </c>
      <c r="C14" s="294">
        <f t="shared" si="2"/>
        <v>6066.189</v>
      </c>
      <c r="D14" s="295">
        <f t="shared" si="7"/>
        <v>2856.8250000000003</v>
      </c>
      <c r="E14" s="310">
        <f t="shared" si="3"/>
        <v>3208.664</v>
      </c>
      <c r="F14" s="310"/>
      <c r="G14" s="311">
        <f>L14</f>
        <v>0.7</v>
      </c>
      <c r="H14" s="295">
        <f t="shared" si="4"/>
        <v>5148.851</v>
      </c>
      <c r="I14" s="295">
        <v>2779.26</v>
      </c>
      <c r="J14" s="295">
        <v>2368.891</v>
      </c>
      <c r="K14" s="295"/>
      <c r="L14" s="312">
        <v>0.7</v>
      </c>
      <c r="M14" s="295">
        <f t="shared" si="5"/>
        <v>917.3380000000002</v>
      </c>
      <c r="N14" s="299">
        <v>77.565</v>
      </c>
      <c r="O14" s="300">
        <v>839.7730000000001</v>
      </c>
      <c r="Q14" s="317">
        <v>2002</v>
      </c>
      <c r="R14" s="289">
        <f t="shared" si="0"/>
        <v>5935.533</v>
      </c>
      <c r="S14" s="289">
        <f t="shared" si="0"/>
        <v>2996.4710000000014</v>
      </c>
      <c r="T14" s="289">
        <f t="shared" si="0"/>
        <v>2938.3619999999996</v>
      </c>
      <c r="W14" s="290">
        <v>2001</v>
      </c>
      <c r="X14" s="316">
        <f t="shared" si="1"/>
        <v>5906.693</v>
      </c>
      <c r="Y14" s="301">
        <f t="shared" si="6"/>
        <v>-0.02629261963318319</v>
      </c>
    </row>
    <row r="15" spans="2:25" ht="12.75">
      <c r="B15" s="302">
        <v>2001</v>
      </c>
      <c r="C15" s="303">
        <f t="shared" si="2"/>
        <v>5906.693</v>
      </c>
      <c r="D15" s="304">
        <f t="shared" si="7"/>
        <v>2966.328</v>
      </c>
      <c r="E15" s="313">
        <f t="shared" si="3"/>
        <v>2939.665</v>
      </c>
      <c r="F15" s="313"/>
      <c r="G15" s="315">
        <v>0.7</v>
      </c>
      <c r="H15" s="304">
        <f t="shared" si="4"/>
        <v>5050.813999999999</v>
      </c>
      <c r="I15" s="313">
        <v>2889.433</v>
      </c>
      <c r="J15" s="313">
        <v>2160.681</v>
      </c>
      <c r="K15" s="313"/>
      <c r="L15" s="315">
        <v>0.7</v>
      </c>
      <c r="M15" s="304">
        <f t="shared" si="5"/>
        <v>855.879</v>
      </c>
      <c r="N15" s="307">
        <v>76.895</v>
      </c>
      <c r="O15" s="308">
        <v>778.984</v>
      </c>
      <c r="Q15" s="283">
        <v>2003</v>
      </c>
      <c r="R15" s="289">
        <f t="shared" si="0"/>
        <v>5970.063</v>
      </c>
      <c r="S15" s="289">
        <f t="shared" si="0"/>
        <v>3032.3070000000002</v>
      </c>
      <c r="T15" s="289">
        <f t="shared" si="0"/>
        <v>2937.056</v>
      </c>
      <c r="W15" s="318">
        <v>2002</v>
      </c>
      <c r="X15" s="319">
        <f t="shared" si="1"/>
        <v>5935.533</v>
      </c>
      <c r="Y15" s="320">
        <f t="shared" si="6"/>
        <v>0.004882596742373568</v>
      </c>
    </row>
    <row r="16" spans="2:20" ht="12.75">
      <c r="B16" s="309">
        <v>2002</v>
      </c>
      <c r="C16" s="294">
        <f t="shared" si="2"/>
        <v>5935.533</v>
      </c>
      <c r="D16" s="295">
        <f t="shared" si="7"/>
        <v>2996.4710000000014</v>
      </c>
      <c r="E16" s="310">
        <f t="shared" si="3"/>
        <v>2938.3619999999996</v>
      </c>
      <c r="F16" s="310"/>
      <c r="G16" s="312">
        <f aca="true" t="shared" si="8" ref="G16:G25">SUM(L16)</f>
        <v>0.7</v>
      </c>
      <c r="H16" s="295">
        <f t="shared" si="4"/>
        <v>5068.051</v>
      </c>
      <c r="I16" s="310">
        <v>2917.602000000001</v>
      </c>
      <c r="J16" s="310">
        <v>2149.749</v>
      </c>
      <c r="K16" s="310"/>
      <c r="L16" s="312">
        <v>0.7</v>
      </c>
      <c r="M16" s="295">
        <f t="shared" si="5"/>
        <v>867.4819999999997</v>
      </c>
      <c r="N16" s="299">
        <v>78.86899999999997</v>
      </c>
      <c r="O16" s="300">
        <v>788.6129999999998</v>
      </c>
      <c r="Q16" s="283">
        <v>2004</v>
      </c>
      <c r="R16" s="289">
        <f t="shared" si="0"/>
        <v>6016.318600000002</v>
      </c>
      <c r="S16" s="289">
        <f t="shared" si="0"/>
        <v>3055.8676000000023</v>
      </c>
      <c r="T16" s="289">
        <f t="shared" si="0"/>
        <v>2959.751</v>
      </c>
    </row>
    <row r="17" spans="1:20" ht="12.75">
      <c r="A17" s="321"/>
      <c r="B17" s="302">
        <v>2003</v>
      </c>
      <c r="C17" s="303">
        <f>SUM(D17:G17)</f>
        <v>5970.063</v>
      </c>
      <c r="D17" s="304">
        <f t="shared" si="7"/>
        <v>3032.3070000000002</v>
      </c>
      <c r="E17" s="313">
        <f t="shared" si="3"/>
        <v>2937.056</v>
      </c>
      <c r="F17" s="313"/>
      <c r="G17" s="315">
        <f t="shared" si="8"/>
        <v>0.7</v>
      </c>
      <c r="H17" s="304">
        <f>SUM(I17:L17)</f>
        <v>5095.103</v>
      </c>
      <c r="I17" s="313">
        <v>2946.8210000000004</v>
      </c>
      <c r="J17" s="313">
        <v>2147.582</v>
      </c>
      <c r="K17" s="313"/>
      <c r="L17" s="315">
        <f>+'[1]Desagregado'!N18</f>
        <v>0.7</v>
      </c>
      <c r="M17" s="304">
        <f>SUM(N17:O17)</f>
        <v>874.96</v>
      </c>
      <c r="N17" s="315">
        <v>85.48599999999999</v>
      </c>
      <c r="O17" s="308">
        <v>789.474</v>
      </c>
      <c r="Q17" s="283">
        <v>2005</v>
      </c>
      <c r="R17" s="289">
        <f t="shared" si="0"/>
        <v>6200.5256</v>
      </c>
      <c r="S17" s="289">
        <f t="shared" si="0"/>
        <v>3207.0616000000005</v>
      </c>
      <c r="T17" s="289">
        <f t="shared" si="0"/>
        <v>2992.763999999999</v>
      </c>
    </row>
    <row r="18" spans="1:20" ht="12.75">
      <c r="A18" s="321"/>
      <c r="B18" s="309">
        <v>2004</v>
      </c>
      <c r="C18" s="294">
        <f t="shared" si="2"/>
        <v>6016.318600000002</v>
      </c>
      <c r="D18" s="295">
        <f t="shared" si="7"/>
        <v>3055.8676000000023</v>
      </c>
      <c r="E18" s="310">
        <f t="shared" si="3"/>
        <v>2959.751</v>
      </c>
      <c r="F18" s="310"/>
      <c r="G18" s="312">
        <f t="shared" si="8"/>
        <v>0.7</v>
      </c>
      <c r="H18" s="295">
        <f t="shared" si="4"/>
        <v>5096.021600000003</v>
      </c>
      <c r="I18" s="310">
        <v>2969.0596000000023</v>
      </c>
      <c r="J18" s="310">
        <v>2126.262</v>
      </c>
      <c r="K18" s="310"/>
      <c r="L18" s="312">
        <f>+'[1]Desagregado'!N19</f>
        <v>0.7</v>
      </c>
      <c r="M18" s="295">
        <f t="shared" si="5"/>
        <v>920.297</v>
      </c>
      <c r="N18" s="312">
        <v>86.80799999999996</v>
      </c>
      <c r="O18" s="300">
        <v>833.489</v>
      </c>
      <c r="Q18" s="283">
        <v>2006</v>
      </c>
      <c r="R18" s="289">
        <f t="shared" si="0"/>
        <v>6658.143599999999</v>
      </c>
      <c r="S18" s="289">
        <f t="shared" si="0"/>
        <v>3216.0026</v>
      </c>
      <c r="T18" s="289">
        <f t="shared" si="0"/>
        <v>3441.441</v>
      </c>
    </row>
    <row r="19" spans="1:20" ht="12.75">
      <c r="A19" s="321"/>
      <c r="B19" s="302">
        <v>2005</v>
      </c>
      <c r="C19" s="303">
        <f t="shared" si="2"/>
        <v>6200.5256</v>
      </c>
      <c r="D19" s="304">
        <f t="shared" si="7"/>
        <v>3207.0616000000005</v>
      </c>
      <c r="E19" s="313">
        <f t="shared" si="3"/>
        <v>2992.763999999999</v>
      </c>
      <c r="F19" s="313"/>
      <c r="G19" s="315">
        <f t="shared" si="8"/>
        <v>0.7</v>
      </c>
      <c r="H19" s="304">
        <f t="shared" si="4"/>
        <v>5220.6336</v>
      </c>
      <c r="I19" s="313">
        <v>3119.1996000000004</v>
      </c>
      <c r="J19" s="313">
        <v>2100.7339999999995</v>
      </c>
      <c r="K19" s="313"/>
      <c r="L19" s="315">
        <f>+'[1]Desagregado'!N20</f>
        <v>0.7</v>
      </c>
      <c r="M19" s="304">
        <f aca="true" t="shared" si="9" ref="M19:M25">+N19+O19</f>
        <v>979.8919999999999</v>
      </c>
      <c r="N19" s="315">
        <v>87.86199999999998</v>
      </c>
      <c r="O19" s="308">
        <v>892.03</v>
      </c>
      <c r="Q19" s="317">
        <v>2007</v>
      </c>
      <c r="R19" s="289">
        <f t="shared" si="0"/>
        <v>7027.5172</v>
      </c>
      <c r="S19" s="289">
        <f t="shared" si="0"/>
        <v>3233.5982000000004</v>
      </c>
      <c r="T19" s="289">
        <f t="shared" si="0"/>
        <v>3793.219</v>
      </c>
    </row>
    <row r="20" spans="1:20" ht="12.75">
      <c r="A20" s="321"/>
      <c r="B20" s="309">
        <v>2006</v>
      </c>
      <c r="C20" s="294">
        <f>SUM(D20:G20)</f>
        <v>6658.143599999999</v>
      </c>
      <c r="D20" s="295">
        <f t="shared" si="7"/>
        <v>3216.0026</v>
      </c>
      <c r="E20" s="310">
        <f t="shared" si="3"/>
        <v>3441.441</v>
      </c>
      <c r="F20" s="310"/>
      <c r="G20" s="312">
        <f t="shared" si="8"/>
        <v>0.7</v>
      </c>
      <c r="H20" s="295">
        <f>SUM(I20:L20)</f>
        <v>5625.1416</v>
      </c>
      <c r="I20" s="310">
        <v>3127.8006</v>
      </c>
      <c r="J20" s="310">
        <v>2496.641</v>
      </c>
      <c r="K20" s="310"/>
      <c r="L20" s="312">
        <f>+'[1]Desagregado'!N21</f>
        <v>0.7</v>
      </c>
      <c r="M20" s="295">
        <f t="shared" si="9"/>
        <v>1033.0019999999997</v>
      </c>
      <c r="N20" s="312">
        <v>88.202</v>
      </c>
      <c r="O20" s="300">
        <v>944.7999999999997</v>
      </c>
      <c r="Q20" s="283">
        <v>2008</v>
      </c>
      <c r="R20" s="289">
        <f t="shared" si="0"/>
        <v>7157.935000000003</v>
      </c>
      <c r="S20" s="289">
        <f t="shared" si="0"/>
        <v>3242.0260000000017</v>
      </c>
      <c r="T20" s="289">
        <f t="shared" si="0"/>
        <v>3915.2090000000017</v>
      </c>
    </row>
    <row r="21" spans="2:20" ht="12.75">
      <c r="B21" s="302">
        <v>2007</v>
      </c>
      <c r="C21" s="303">
        <f t="shared" si="2"/>
        <v>7027.5172</v>
      </c>
      <c r="D21" s="304">
        <f t="shared" si="7"/>
        <v>3233.5982000000004</v>
      </c>
      <c r="E21" s="313">
        <f t="shared" si="3"/>
        <v>3793.219</v>
      </c>
      <c r="F21" s="313"/>
      <c r="G21" s="315">
        <f t="shared" si="8"/>
        <v>0.7</v>
      </c>
      <c r="H21" s="304">
        <f t="shared" si="4"/>
        <v>5989.7252</v>
      </c>
      <c r="I21" s="313">
        <v>3145.1412000000005</v>
      </c>
      <c r="J21" s="313">
        <v>2843.884</v>
      </c>
      <c r="K21" s="313"/>
      <c r="L21" s="315">
        <f>+'[1]Desagregado'!N22</f>
        <v>0.7</v>
      </c>
      <c r="M21" s="304">
        <f t="shared" si="9"/>
        <v>1037.792</v>
      </c>
      <c r="N21" s="315">
        <v>88.457</v>
      </c>
      <c r="O21" s="308">
        <v>949.3349999999999</v>
      </c>
      <c r="Q21" s="283">
        <v>2009</v>
      </c>
      <c r="R21" s="289">
        <f t="shared" si="0"/>
        <v>7986.496000000002</v>
      </c>
      <c r="S21" s="289">
        <f t="shared" si="0"/>
        <v>3277.4640000000018</v>
      </c>
      <c r="T21" s="289">
        <f t="shared" si="0"/>
        <v>4708.332</v>
      </c>
    </row>
    <row r="22" spans="2:20" ht="12.75">
      <c r="B22" s="309">
        <v>2008</v>
      </c>
      <c r="C22" s="294">
        <f t="shared" si="2"/>
        <v>7157.935000000003</v>
      </c>
      <c r="D22" s="295">
        <f t="shared" si="7"/>
        <v>3242.0260000000017</v>
      </c>
      <c r="E22" s="296">
        <f t="shared" si="3"/>
        <v>3915.2090000000017</v>
      </c>
      <c r="F22" s="296"/>
      <c r="G22" s="312">
        <f t="shared" si="8"/>
        <v>0.7</v>
      </c>
      <c r="H22" s="295">
        <f t="shared" si="4"/>
        <v>5996.983000000003</v>
      </c>
      <c r="I22" s="310">
        <v>3152.038000000002</v>
      </c>
      <c r="J22" s="310">
        <v>2844.245000000001</v>
      </c>
      <c r="K22" s="310"/>
      <c r="L22" s="312">
        <f>+'[1]Desagregado'!N23</f>
        <v>0.7</v>
      </c>
      <c r="M22" s="295">
        <f t="shared" si="9"/>
        <v>1160.9520000000007</v>
      </c>
      <c r="N22" s="312">
        <v>89.98799999999997</v>
      </c>
      <c r="O22" s="300">
        <v>1070.9640000000006</v>
      </c>
      <c r="Q22" s="283">
        <v>2010</v>
      </c>
      <c r="R22" s="289">
        <f t="shared" si="0"/>
        <v>8612.556999999999</v>
      </c>
      <c r="S22" s="289">
        <f t="shared" si="0"/>
        <v>3437.602</v>
      </c>
      <c r="T22" s="289">
        <f t="shared" si="0"/>
        <v>5174.254999999998</v>
      </c>
    </row>
    <row r="23" spans="2:20" ht="12.75">
      <c r="B23" s="302">
        <v>2009</v>
      </c>
      <c r="C23" s="303">
        <f t="shared" si="2"/>
        <v>7986.496000000002</v>
      </c>
      <c r="D23" s="304">
        <f t="shared" si="7"/>
        <v>3277.4640000000018</v>
      </c>
      <c r="E23" s="305">
        <f t="shared" si="3"/>
        <v>4708.332</v>
      </c>
      <c r="F23" s="305"/>
      <c r="G23" s="315">
        <f t="shared" si="8"/>
        <v>0.7</v>
      </c>
      <c r="H23" s="304">
        <f t="shared" si="4"/>
        <v>6723.516000000002</v>
      </c>
      <c r="I23" s="313">
        <v>3183.1260000000016</v>
      </c>
      <c r="J23" s="313">
        <v>3539.6900000000005</v>
      </c>
      <c r="K23" s="313"/>
      <c r="L23" s="315">
        <f>+'[1]Desagregado'!N24</f>
        <v>0.7</v>
      </c>
      <c r="M23" s="304">
        <f t="shared" si="9"/>
        <v>1262.9800000000002</v>
      </c>
      <c r="N23" s="315">
        <v>94.338</v>
      </c>
      <c r="O23" s="308">
        <v>1168.6420000000003</v>
      </c>
      <c r="Q23" s="283">
        <v>2011</v>
      </c>
      <c r="R23" s="289">
        <f t="shared" si="0"/>
        <v>8691.327</v>
      </c>
      <c r="S23" s="289">
        <f t="shared" si="0"/>
        <v>3450.9529999999995</v>
      </c>
      <c r="T23" s="289">
        <f t="shared" si="0"/>
        <v>5239.673999999999</v>
      </c>
    </row>
    <row r="24" spans="2:20" ht="12.75">
      <c r="B24" s="309">
        <v>2010</v>
      </c>
      <c r="C24" s="294">
        <f t="shared" si="2"/>
        <v>8612.556999999999</v>
      </c>
      <c r="D24" s="295">
        <f t="shared" si="7"/>
        <v>3437.602</v>
      </c>
      <c r="E24" s="296">
        <f t="shared" si="3"/>
        <v>5174.254999999998</v>
      </c>
      <c r="F24" s="296"/>
      <c r="G24" s="312">
        <f t="shared" si="8"/>
        <v>0.7</v>
      </c>
      <c r="H24" s="295">
        <f t="shared" si="4"/>
        <v>7309.165999999998</v>
      </c>
      <c r="I24" s="310">
        <v>3344.795</v>
      </c>
      <c r="J24" s="310">
        <v>3963.670999999999</v>
      </c>
      <c r="K24" s="310"/>
      <c r="L24" s="312">
        <f>+'[1]Desagregado'!N25</f>
        <v>0.7</v>
      </c>
      <c r="M24" s="295">
        <f>+N24+O24</f>
        <v>1303.3909999999996</v>
      </c>
      <c r="N24" s="312">
        <v>92.80700000000002</v>
      </c>
      <c r="O24" s="300">
        <v>1210.5839999999996</v>
      </c>
      <c r="Q24" s="283">
        <v>2012</v>
      </c>
      <c r="R24" s="283">
        <v>9699.096999999998</v>
      </c>
      <c r="S24" s="289">
        <v>3483.973999999999</v>
      </c>
      <c r="T24" s="289">
        <v>6134.422999999999</v>
      </c>
    </row>
    <row r="25" spans="2:20" ht="12.75">
      <c r="B25" s="302">
        <v>2011</v>
      </c>
      <c r="C25" s="303">
        <f t="shared" si="2"/>
        <v>8691.327</v>
      </c>
      <c r="D25" s="304">
        <f t="shared" si="7"/>
        <v>3450.9529999999995</v>
      </c>
      <c r="E25" s="305">
        <f t="shared" si="3"/>
        <v>5239.673999999999</v>
      </c>
      <c r="F25" s="305"/>
      <c r="G25" s="315">
        <f t="shared" si="8"/>
        <v>0.7</v>
      </c>
      <c r="H25" s="304">
        <f t="shared" si="4"/>
        <v>7314.236999999998</v>
      </c>
      <c r="I25" s="304">
        <v>3357.0599999999995</v>
      </c>
      <c r="J25" s="304">
        <v>3956.4769999999994</v>
      </c>
      <c r="K25" s="313"/>
      <c r="L25" s="315">
        <v>0.7</v>
      </c>
      <c r="M25" s="304">
        <f t="shared" si="9"/>
        <v>1377.0899999999997</v>
      </c>
      <c r="N25" s="304">
        <v>93.893</v>
      </c>
      <c r="O25" s="808">
        <v>1283.1969999999997</v>
      </c>
      <c r="R25" s="289"/>
      <c r="S25" s="289"/>
      <c r="T25" s="289"/>
    </row>
    <row r="26" spans="2:20" ht="12.75">
      <c r="B26" s="309">
        <v>2012</v>
      </c>
      <c r="C26" s="294">
        <v>9699.096999999998</v>
      </c>
      <c r="D26" s="295">
        <v>3483.973999999999</v>
      </c>
      <c r="E26" s="296">
        <v>6134.422999999999</v>
      </c>
      <c r="F26" s="296">
        <v>80</v>
      </c>
      <c r="G26" s="312">
        <v>0.7</v>
      </c>
      <c r="H26" s="295">
        <v>8267.170999999998</v>
      </c>
      <c r="I26" s="310">
        <v>3380.829999999999</v>
      </c>
      <c r="J26" s="310">
        <v>4805.640999999999</v>
      </c>
      <c r="K26" s="310">
        <v>80</v>
      </c>
      <c r="L26" s="312">
        <v>0.7</v>
      </c>
      <c r="M26" s="295">
        <v>1431.9260000000006</v>
      </c>
      <c r="N26" s="312">
        <v>103.14399999999998</v>
      </c>
      <c r="O26" s="300">
        <v>1328.7820000000006</v>
      </c>
      <c r="R26" s="289"/>
      <c r="S26" s="289"/>
      <c r="T26" s="289"/>
    </row>
    <row r="27" spans="2:20" ht="13.5" thickBot="1">
      <c r="B27" s="809"/>
      <c r="C27" s="810"/>
      <c r="D27" s="811"/>
      <c r="E27" s="812"/>
      <c r="F27" s="812"/>
      <c r="G27" s="813"/>
      <c r="H27" s="811"/>
      <c r="I27" s="811"/>
      <c r="J27" s="811"/>
      <c r="K27" s="814"/>
      <c r="L27" s="813"/>
      <c r="M27" s="811"/>
      <c r="N27" s="811"/>
      <c r="O27" s="815"/>
      <c r="R27" s="289"/>
      <c r="S27" s="289"/>
      <c r="T27" s="289"/>
    </row>
    <row r="28" spans="2:26" ht="12.75">
      <c r="B28" s="349" t="s">
        <v>109</v>
      </c>
      <c r="C28" s="350">
        <f>(C26/C25)-1</f>
        <v>0.1159512235588418</v>
      </c>
      <c r="D28" s="805">
        <f>(D26/D25)-1</f>
        <v>0.009568661178520621</v>
      </c>
      <c r="E28" s="352">
        <f>(E26/E25)-1</f>
        <v>0.1707642498369173</v>
      </c>
      <c r="F28" s="334"/>
      <c r="G28" s="343"/>
      <c r="H28" s="806">
        <f>(H26/H25)-1</f>
        <v>0.13028481302971184</v>
      </c>
      <c r="I28" s="805">
        <f>(I26/I25)-1</f>
        <v>0.007080600287155958</v>
      </c>
      <c r="J28" s="807">
        <f>(J26/J25)-1</f>
        <v>0.21462629505997377</v>
      </c>
      <c r="K28" s="449"/>
      <c r="L28" s="343"/>
      <c r="M28" s="350">
        <f>(M26/M25)-1</f>
        <v>0.03982020056786473</v>
      </c>
      <c r="N28" s="351">
        <f>(N26/N25)-1</f>
        <v>0.09852704674469859</v>
      </c>
      <c r="O28" s="352">
        <f>(O26/O25)-1</f>
        <v>0.03552455312785252</v>
      </c>
      <c r="R28" s="289"/>
      <c r="S28" s="289"/>
      <c r="T28" s="289"/>
      <c r="W28" s="336"/>
      <c r="X28" s="337"/>
      <c r="Y28" s="337"/>
      <c r="Z28" s="338"/>
    </row>
    <row r="29" spans="2:26" s="321" customFormat="1" ht="12.75" customHeight="1">
      <c r="B29" s="339" t="s">
        <v>110</v>
      </c>
      <c r="C29" s="340">
        <f>((C26/C21)^(1/5))-1</f>
        <v>0.06656143695232308</v>
      </c>
      <c r="D29" s="341">
        <f>((D26/D21)^(1/5))-1</f>
        <v>0.01502740999751051</v>
      </c>
      <c r="E29" s="342">
        <f>((E26/E21)^(1/5))-1</f>
        <v>0.1009134065689612</v>
      </c>
      <c r="F29" s="334"/>
      <c r="G29" s="343"/>
      <c r="H29" s="340">
        <f>((H26/H21)^(1/5))-1</f>
        <v>0.0665715733919574</v>
      </c>
      <c r="I29" s="341">
        <f>((I26/I21)^(1/5))-1</f>
        <v>0.014557433334009495</v>
      </c>
      <c r="J29" s="342">
        <f>((J26/J21)^(1/5))-1</f>
        <v>0.1106261357502365</v>
      </c>
      <c r="K29" s="334"/>
      <c r="L29" s="344"/>
      <c r="M29" s="340">
        <f>((M26/M21)^(1/5))-1</f>
        <v>0.0665029258980876</v>
      </c>
      <c r="N29" s="341">
        <f>((N26/N21)^(1/5))-1</f>
        <v>0.031198690100988857</v>
      </c>
      <c r="O29" s="342">
        <f>((O26/O21)^(1/5))-1</f>
        <v>0.06956417726631425</v>
      </c>
      <c r="R29" s="345"/>
      <c r="S29" s="345"/>
      <c r="T29" s="345"/>
      <c r="W29" s="346"/>
      <c r="X29" s="347"/>
      <c r="Y29" s="347"/>
      <c r="Z29" s="348"/>
    </row>
    <row r="30" spans="2:26" ht="12.75">
      <c r="B30" s="349" t="s">
        <v>111</v>
      </c>
      <c r="C30" s="350">
        <f>(C26/C14)-1</f>
        <v>0.5988781424383576</v>
      </c>
      <c r="D30" s="351">
        <f>(D26/D14)-1</f>
        <v>0.21952657233117123</v>
      </c>
      <c r="E30" s="352">
        <f>(E26/E14)-1</f>
        <v>0.9118309053238352</v>
      </c>
      <c r="F30" s="334"/>
      <c r="G30" s="343"/>
      <c r="H30" s="350">
        <f>(H26/H14)-1</f>
        <v>0.605634150221088</v>
      </c>
      <c r="I30" s="351">
        <f>(I26/I14)-1</f>
        <v>0.21644970243877815</v>
      </c>
      <c r="J30" s="352">
        <f>(J26/J14)-1</f>
        <v>1.0286458937958725</v>
      </c>
      <c r="K30" s="334"/>
      <c r="L30" s="344"/>
      <c r="M30" s="350">
        <f>(M26/M14)-1</f>
        <v>0.5609579021036961</v>
      </c>
      <c r="N30" s="351">
        <f>(N26/N14)-1</f>
        <v>0.3297750273963769</v>
      </c>
      <c r="O30" s="352">
        <f>(O26/O14)-1</f>
        <v>0.5823109340262194</v>
      </c>
      <c r="R30" s="289"/>
      <c r="S30" s="289"/>
      <c r="T30" s="289"/>
      <c r="W30" s="353"/>
      <c r="X30" s="354"/>
      <c r="Y30" s="354"/>
      <c r="Z30" s="355"/>
    </row>
    <row r="31" spans="2:26" s="321" customFormat="1" ht="12.75" customHeight="1" thickBot="1">
      <c r="B31" s="356" t="s">
        <v>112</v>
      </c>
      <c r="C31" s="357">
        <f>((C26/C14)^(1/12))-1</f>
        <v>0.03988332413549922</v>
      </c>
      <c r="D31" s="358">
        <f>((D26/D14)^(1/12))-1</f>
        <v>0.016676079734734728</v>
      </c>
      <c r="E31" s="359">
        <f>((E26/E14)^(1/12))-1</f>
        <v>0.055490000276014806</v>
      </c>
      <c r="F31" s="334"/>
      <c r="G31" s="344"/>
      <c r="H31" s="357">
        <f>((H26/H14)^(1/12))-1</f>
        <v>0.04024878300772561</v>
      </c>
      <c r="I31" s="358">
        <f>((I26/I14)^(1/12))-1</f>
        <v>0.016462075704603896</v>
      </c>
      <c r="J31" s="360">
        <f>((J26/J14)^(1/12))-1</f>
        <v>0.06071942095271132</v>
      </c>
      <c r="K31" s="334"/>
      <c r="L31" s="344"/>
      <c r="M31" s="357">
        <f>((M26/M14)^(1/12))-1</f>
        <v>0.03780541535901594</v>
      </c>
      <c r="N31" s="358">
        <f>((N26/N14)^(1/12))-1</f>
        <v>0.024035111529688624</v>
      </c>
      <c r="O31" s="360">
        <f>((O26/O14)^(1/12))-1</f>
        <v>0.03898111197634235</v>
      </c>
      <c r="W31" s="361"/>
      <c r="X31" s="362"/>
      <c r="Y31" s="362"/>
      <c r="Z31" s="362"/>
    </row>
    <row r="32" spans="2:26" ht="12.75">
      <c r="B32" s="363"/>
      <c r="R32" s="283" t="s">
        <v>46</v>
      </c>
      <c r="W32" s="353"/>
      <c r="X32" s="364"/>
      <c r="Y32" s="364"/>
      <c r="Z32" s="365"/>
    </row>
    <row r="33" spans="2:26" ht="12.75">
      <c r="B33" s="366"/>
      <c r="R33" s="283" t="s">
        <v>0</v>
      </c>
      <c r="S33" s="283" t="s">
        <v>4</v>
      </c>
      <c r="T33" s="283" t="s">
        <v>5</v>
      </c>
      <c r="U33" s="283" t="s">
        <v>68</v>
      </c>
      <c r="W33" s="367"/>
      <c r="X33" s="368"/>
      <c r="Y33" s="368"/>
      <c r="Z33" s="369"/>
    </row>
    <row r="34" spans="17:26" ht="12.75">
      <c r="Q34" s="283">
        <v>1995</v>
      </c>
      <c r="R34" s="289">
        <f aca="true" t="shared" si="10" ref="R34:R50">H9</f>
        <v>3185.7</v>
      </c>
      <c r="S34" s="289">
        <f aca="true" t="shared" si="11" ref="S34:S50">I9</f>
        <v>2190</v>
      </c>
      <c r="T34" s="289">
        <f aca="true" t="shared" si="12" ref="T34:T50">J9</f>
        <v>995.7</v>
      </c>
      <c r="U34" s="804" t="s">
        <v>113</v>
      </c>
      <c r="W34" s="370"/>
      <c r="X34" s="371"/>
      <c r="Y34" s="371"/>
      <c r="Z34" s="372"/>
    </row>
    <row r="35" spans="17:21" ht="12.75">
      <c r="Q35" s="283">
        <v>1996</v>
      </c>
      <c r="R35" s="289">
        <f t="shared" si="10"/>
        <v>3352.881</v>
      </c>
      <c r="S35" s="289">
        <f t="shared" si="11"/>
        <v>2200.1839999999997</v>
      </c>
      <c r="T35" s="289">
        <f t="shared" si="12"/>
        <v>1152.4470000000001</v>
      </c>
      <c r="U35" s="804" t="s">
        <v>113</v>
      </c>
    </row>
    <row r="36" spans="17:21" ht="12.75">
      <c r="Q36" s="283">
        <v>1997</v>
      </c>
      <c r="R36" s="289">
        <f t="shared" si="10"/>
        <v>4325.021</v>
      </c>
      <c r="S36" s="289">
        <f t="shared" si="11"/>
        <v>2411.519</v>
      </c>
      <c r="T36" s="289">
        <f t="shared" si="12"/>
        <v>1913.252</v>
      </c>
      <c r="U36" s="804" t="s">
        <v>113</v>
      </c>
    </row>
    <row r="37" spans="17:21" ht="12.75">
      <c r="Q37" s="283">
        <v>1998</v>
      </c>
      <c r="R37" s="289">
        <f t="shared" si="10"/>
        <v>4632.328</v>
      </c>
      <c r="S37" s="289">
        <f t="shared" si="11"/>
        <v>2467.416</v>
      </c>
      <c r="T37" s="289">
        <f t="shared" si="12"/>
        <v>2164.6119999999996</v>
      </c>
      <c r="U37" s="804" t="s">
        <v>113</v>
      </c>
    </row>
    <row r="38" spans="17:21" ht="12.75">
      <c r="Q38" s="283">
        <v>1999</v>
      </c>
      <c r="R38" s="289">
        <f t="shared" si="10"/>
        <v>4828.2429999999995</v>
      </c>
      <c r="S38" s="289">
        <f t="shared" si="11"/>
        <v>2587.129</v>
      </c>
      <c r="T38" s="289">
        <f t="shared" si="12"/>
        <v>2240.414</v>
      </c>
      <c r="U38" s="804" t="s">
        <v>113</v>
      </c>
    </row>
    <row r="39" spans="17:21" ht="12.75">
      <c r="Q39" s="283">
        <v>2000</v>
      </c>
      <c r="R39" s="289">
        <f t="shared" si="10"/>
        <v>5148.851</v>
      </c>
      <c r="S39" s="289">
        <f t="shared" si="11"/>
        <v>2779.26</v>
      </c>
      <c r="T39" s="289">
        <f t="shared" si="12"/>
        <v>2368.891</v>
      </c>
      <c r="U39" s="804" t="s">
        <v>113</v>
      </c>
    </row>
    <row r="40" spans="17:21" ht="12.75">
      <c r="Q40" s="283">
        <v>2001</v>
      </c>
      <c r="R40" s="289">
        <f t="shared" si="10"/>
        <v>5050.813999999999</v>
      </c>
      <c r="S40" s="289">
        <f t="shared" si="11"/>
        <v>2889.433</v>
      </c>
      <c r="T40" s="289">
        <f t="shared" si="12"/>
        <v>2160.681</v>
      </c>
      <c r="U40" s="804" t="s">
        <v>113</v>
      </c>
    </row>
    <row r="41" spans="17:21" ht="12.75">
      <c r="Q41" s="317">
        <v>2002</v>
      </c>
      <c r="R41" s="289">
        <f t="shared" si="10"/>
        <v>5068.051</v>
      </c>
      <c r="S41" s="289">
        <f t="shared" si="11"/>
        <v>2917.602000000001</v>
      </c>
      <c r="T41" s="289">
        <f t="shared" si="12"/>
        <v>2149.749</v>
      </c>
      <c r="U41" s="804" t="s">
        <v>113</v>
      </c>
    </row>
    <row r="42" spans="17:21" ht="12.75">
      <c r="Q42" s="283">
        <v>2003</v>
      </c>
      <c r="R42" s="289">
        <f t="shared" si="10"/>
        <v>5095.103</v>
      </c>
      <c r="S42" s="289">
        <f t="shared" si="11"/>
        <v>2946.8210000000004</v>
      </c>
      <c r="T42" s="289">
        <f t="shared" si="12"/>
        <v>2147.582</v>
      </c>
      <c r="U42" s="804" t="s">
        <v>113</v>
      </c>
    </row>
    <row r="43" spans="17:21" ht="12.75">
      <c r="Q43" s="283">
        <v>2004</v>
      </c>
      <c r="R43" s="289">
        <f t="shared" si="10"/>
        <v>5096.021600000003</v>
      </c>
      <c r="S43" s="289">
        <f t="shared" si="11"/>
        <v>2969.0596000000023</v>
      </c>
      <c r="T43" s="289">
        <f t="shared" si="12"/>
        <v>2126.262</v>
      </c>
      <c r="U43" s="804" t="s">
        <v>113</v>
      </c>
    </row>
    <row r="44" spans="17:21" ht="12.75">
      <c r="Q44" s="283">
        <v>2005</v>
      </c>
      <c r="R44" s="289">
        <f t="shared" si="10"/>
        <v>5220.6336</v>
      </c>
      <c r="S44" s="289">
        <f t="shared" si="11"/>
        <v>3119.1996000000004</v>
      </c>
      <c r="T44" s="289">
        <f t="shared" si="12"/>
        <v>2100.7339999999995</v>
      </c>
      <c r="U44" s="804" t="s">
        <v>113</v>
      </c>
    </row>
    <row r="45" spans="17:21" ht="12.75">
      <c r="Q45" s="283">
        <v>2006</v>
      </c>
      <c r="R45" s="289">
        <f t="shared" si="10"/>
        <v>5625.1416</v>
      </c>
      <c r="S45" s="289">
        <f t="shared" si="11"/>
        <v>3127.8006</v>
      </c>
      <c r="T45" s="289">
        <f t="shared" si="12"/>
        <v>2496.641</v>
      </c>
      <c r="U45" s="804" t="s">
        <v>113</v>
      </c>
    </row>
    <row r="46" spans="17:21" ht="12.75">
      <c r="Q46" s="317">
        <v>2007</v>
      </c>
      <c r="R46" s="289">
        <f t="shared" si="10"/>
        <v>5989.7252</v>
      </c>
      <c r="S46" s="289">
        <f t="shared" si="11"/>
        <v>3145.1412000000005</v>
      </c>
      <c r="T46" s="289">
        <f t="shared" si="12"/>
        <v>2843.884</v>
      </c>
      <c r="U46" s="804" t="s">
        <v>113</v>
      </c>
    </row>
    <row r="47" spans="17:21" ht="12.75">
      <c r="Q47" s="283">
        <v>2008</v>
      </c>
      <c r="R47" s="289">
        <f t="shared" si="10"/>
        <v>5996.983000000003</v>
      </c>
      <c r="S47" s="289">
        <f t="shared" si="11"/>
        <v>3152.038000000002</v>
      </c>
      <c r="T47" s="289">
        <f t="shared" si="12"/>
        <v>2844.245000000001</v>
      </c>
      <c r="U47" s="804" t="s">
        <v>113</v>
      </c>
    </row>
    <row r="48" spans="17:21" ht="12.75">
      <c r="Q48" s="283">
        <v>2009</v>
      </c>
      <c r="R48" s="289">
        <f t="shared" si="10"/>
        <v>6723.516000000002</v>
      </c>
      <c r="S48" s="289">
        <f t="shared" si="11"/>
        <v>3183.1260000000016</v>
      </c>
      <c r="T48" s="289">
        <f t="shared" si="12"/>
        <v>3539.6900000000005</v>
      </c>
      <c r="U48" s="804" t="s">
        <v>113</v>
      </c>
    </row>
    <row r="49" spans="17:21" ht="12.75">
      <c r="Q49" s="283">
        <v>2010</v>
      </c>
      <c r="R49" s="289">
        <f t="shared" si="10"/>
        <v>7309.165999999998</v>
      </c>
      <c r="S49" s="289">
        <f t="shared" si="11"/>
        <v>3344.795</v>
      </c>
      <c r="T49" s="289">
        <f t="shared" si="12"/>
        <v>3963.670999999999</v>
      </c>
      <c r="U49" s="804" t="s">
        <v>113</v>
      </c>
    </row>
    <row r="50" spans="17:21" ht="12.75">
      <c r="Q50" s="283">
        <v>2011</v>
      </c>
      <c r="R50" s="289">
        <f t="shared" si="10"/>
        <v>7314.236999999998</v>
      </c>
      <c r="S50" s="289">
        <f t="shared" si="11"/>
        <v>3357.0599999999995</v>
      </c>
      <c r="T50" s="289">
        <f t="shared" si="12"/>
        <v>3956.4769999999994</v>
      </c>
      <c r="U50" s="804" t="s">
        <v>113</v>
      </c>
    </row>
    <row r="51" spans="17:21" ht="12.75">
      <c r="Q51" s="283">
        <v>2012</v>
      </c>
      <c r="R51" s="289">
        <v>8267.170999999998</v>
      </c>
      <c r="S51" s="289">
        <v>3380.829999999999</v>
      </c>
      <c r="T51" s="289">
        <v>4805.640999999999</v>
      </c>
      <c r="U51" s="283">
        <v>80</v>
      </c>
    </row>
    <row r="52" spans="18:20" ht="12.75">
      <c r="R52" s="289"/>
      <c r="S52" s="289"/>
      <c r="T52" s="289"/>
    </row>
    <row r="55" ht="12.75">
      <c r="R55" s="283" t="s">
        <v>47</v>
      </c>
    </row>
    <row r="56" spans="18:20" ht="12.75">
      <c r="R56" s="283" t="s">
        <v>0</v>
      </c>
      <c r="S56" s="283" t="s">
        <v>4</v>
      </c>
      <c r="T56" s="283" t="s">
        <v>5</v>
      </c>
    </row>
    <row r="57" spans="17:20" ht="12.75">
      <c r="Q57" s="283">
        <v>1995</v>
      </c>
      <c r="R57" s="289">
        <f aca="true" t="shared" si="13" ref="R57:R73">M9</f>
        <v>1276</v>
      </c>
      <c r="S57" s="289">
        <f aca="true" t="shared" si="14" ref="S57:S73">N9</f>
        <v>289.4</v>
      </c>
      <c r="T57" s="289">
        <f aca="true" t="shared" si="15" ref="T57:T73">O9</f>
        <v>986.5999999999999</v>
      </c>
    </row>
    <row r="58" spans="17:20" ht="12.75">
      <c r="Q58" s="283">
        <v>1996</v>
      </c>
      <c r="R58" s="289">
        <f t="shared" si="13"/>
        <v>1309.724</v>
      </c>
      <c r="S58" s="289">
        <f t="shared" si="14"/>
        <v>292.54</v>
      </c>
      <c r="T58" s="289">
        <f t="shared" si="15"/>
        <v>1017.184</v>
      </c>
    </row>
    <row r="59" spans="17:20" ht="12.75">
      <c r="Q59" s="283">
        <v>1997</v>
      </c>
      <c r="R59" s="289">
        <f t="shared" si="13"/>
        <v>867.477</v>
      </c>
      <c r="S59" s="289">
        <f t="shared" si="14"/>
        <v>101.475</v>
      </c>
      <c r="T59" s="289">
        <f t="shared" si="15"/>
        <v>766.002</v>
      </c>
    </row>
    <row r="60" spans="17:20" ht="12.75">
      <c r="Q60" s="283">
        <v>1998</v>
      </c>
      <c r="R60" s="289">
        <f t="shared" si="13"/>
        <v>883.0120000000001</v>
      </c>
      <c r="S60" s="289">
        <f t="shared" si="14"/>
        <v>104.645</v>
      </c>
      <c r="T60" s="289">
        <f t="shared" si="15"/>
        <v>778.3670000000001</v>
      </c>
    </row>
    <row r="61" spans="17:20" ht="12.75">
      <c r="Q61" s="283">
        <v>1999</v>
      </c>
      <c r="R61" s="289">
        <f t="shared" si="13"/>
        <v>914.185</v>
      </c>
      <c r="S61" s="289">
        <f t="shared" si="14"/>
        <v>86.15099999999998</v>
      </c>
      <c r="T61" s="289">
        <f t="shared" si="15"/>
        <v>828.034</v>
      </c>
    </row>
    <row r="62" spans="17:20" ht="12.75">
      <c r="Q62" s="283">
        <v>2000</v>
      </c>
      <c r="R62" s="289">
        <f t="shared" si="13"/>
        <v>917.3380000000002</v>
      </c>
      <c r="S62" s="289">
        <f t="shared" si="14"/>
        <v>77.565</v>
      </c>
      <c r="T62" s="289">
        <f t="shared" si="15"/>
        <v>839.7730000000001</v>
      </c>
    </row>
    <row r="63" spans="17:20" ht="12.75">
      <c r="Q63" s="283">
        <v>2001</v>
      </c>
      <c r="R63" s="289">
        <f t="shared" si="13"/>
        <v>855.879</v>
      </c>
      <c r="S63" s="289">
        <f t="shared" si="14"/>
        <v>76.895</v>
      </c>
      <c r="T63" s="289">
        <f t="shared" si="15"/>
        <v>778.984</v>
      </c>
    </row>
    <row r="64" spans="17:20" ht="12.75">
      <c r="Q64" s="283">
        <v>2002</v>
      </c>
      <c r="R64" s="289">
        <f t="shared" si="13"/>
        <v>867.4819999999997</v>
      </c>
      <c r="S64" s="289">
        <f t="shared" si="14"/>
        <v>78.86899999999997</v>
      </c>
      <c r="T64" s="289">
        <f t="shared" si="15"/>
        <v>788.6129999999998</v>
      </c>
    </row>
    <row r="65" spans="17:20" ht="12.75">
      <c r="Q65" s="283">
        <v>2003</v>
      </c>
      <c r="R65" s="289">
        <f t="shared" si="13"/>
        <v>874.96</v>
      </c>
      <c r="S65" s="289">
        <f t="shared" si="14"/>
        <v>85.48599999999999</v>
      </c>
      <c r="T65" s="289">
        <f t="shared" si="15"/>
        <v>789.474</v>
      </c>
    </row>
    <row r="66" spans="17:20" ht="12.75">
      <c r="Q66" s="283">
        <v>2004</v>
      </c>
      <c r="R66" s="289">
        <f t="shared" si="13"/>
        <v>920.297</v>
      </c>
      <c r="S66" s="289">
        <f t="shared" si="14"/>
        <v>86.80799999999996</v>
      </c>
      <c r="T66" s="289">
        <f t="shared" si="15"/>
        <v>833.489</v>
      </c>
    </row>
    <row r="67" spans="17:20" ht="12.75">
      <c r="Q67" s="283">
        <v>2005</v>
      </c>
      <c r="R67" s="289">
        <f t="shared" si="13"/>
        <v>979.8919999999999</v>
      </c>
      <c r="S67" s="289">
        <f t="shared" si="14"/>
        <v>87.86199999999998</v>
      </c>
      <c r="T67" s="289">
        <f t="shared" si="15"/>
        <v>892.03</v>
      </c>
    </row>
    <row r="68" spans="17:20" ht="12.75">
      <c r="Q68" s="283">
        <v>2006</v>
      </c>
      <c r="R68" s="289">
        <f t="shared" si="13"/>
        <v>1033.0019999999997</v>
      </c>
      <c r="S68" s="289">
        <f t="shared" si="14"/>
        <v>88.202</v>
      </c>
      <c r="T68" s="289">
        <f t="shared" si="15"/>
        <v>944.7999999999997</v>
      </c>
    </row>
    <row r="69" spans="17:20" ht="12.75">
      <c r="Q69" s="317">
        <v>2007</v>
      </c>
      <c r="R69" s="289">
        <f t="shared" si="13"/>
        <v>1037.792</v>
      </c>
      <c r="S69" s="289">
        <f t="shared" si="14"/>
        <v>88.457</v>
      </c>
      <c r="T69" s="289">
        <f t="shared" si="15"/>
        <v>949.3349999999999</v>
      </c>
    </row>
    <row r="70" spans="17:20" ht="12.75">
      <c r="Q70" s="283">
        <v>2008</v>
      </c>
      <c r="R70" s="289">
        <f t="shared" si="13"/>
        <v>1160.9520000000007</v>
      </c>
      <c r="S70" s="289">
        <f t="shared" si="14"/>
        <v>89.98799999999997</v>
      </c>
      <c r="T70" s="289">
        <f t="shared" si="15"/>
        <v>1070.9640000000006</v>
      </c>
    </row>
    <row r="71" spans="17:20" ht="12.75">
      <c r="Q71" s="283">
        <v>2009</v>
      </c>
      <c r="R71" s="289">
        <f t="shared" si="13"/>
        <v>1262.9800000000002</v>
      </c>
      <c r="S71" s="289">
        <f t="shared" si="14"/>
        <v>94.338</v>
      </c>
      <c r="T71" s="289">
        <f t="shared" si="15"/>
        <v>1168.6420000000003</v>
      </c>
    </row>
    <row r="72" spans="17:20" ht="12.75">
      <c r="Q72" s="283">
        <v>2010</v>
      </c>
      <c r="R72" s="289">
        <f t="shared" si="13"/>
        <v>1303.3909999999996</v>
      </c>
      <c r="S72" s="289">
        <f t="shared" si="14"/>
        <v>92.80700000000002</v>
      </c>
      <c r="T72" s="289">
        <f t="shared" si="15"/>
        <v>1210.5839999999996</v>
      </c>
    </row>
    <row r="73" spans="17:20" ht="12.75">
      <c r="Q73" s="283">
        <v>2011</v>
      </c>
      <c r="R73" s="289">
        <f t="shared" si="13"/>
        <v>1377.0899999999997</v>
      </c>
      <c r="S73" s="289">
        <f t="shared" si="14"/>
        <v>93.893</v>
      </c>
      <c r="T73" s="289">
        <f t="shared" si="15"/>
        <v>1283.1969999999997</v>
      </c>
    </row>
    <row r="74" spans="17:20" ht="12.75">
      <c r="Q74" s="283">
        <v>2012</v>
      </c>
      <c r="R74" s="289">
        <v>1431.9260000000006</v>
      </c>
      <c r="S74" s="289">
        <v>103.14399999999998</v>
      </c>
      <c r="T74" s="289">
        <v>1328.7820000000006</v>
      </c>
    </row>
    <row r="75" spans="18:20" ht="12.75">
      <c r="R75" s="289"/>
      <c r="S75" s="289"/>
      <c r="T75" s="289"/>
    </row>
  </sheetData>
  <sheetProtection/>
  <printOptions horizontalCentered="1" verticalCentered="1"/>
  <pageMargins left="0.9055118110236221" right="0.5905511811023623" top="0.7874015748031497" bottom="0.7086614173228347" header="0" footer="0"/>
  <pageSetup fitToHeight="1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145" zoomScaleSheetLayoutView="145" zoomScalePageLayoutView="0" workbookViewId="0" topLeftCell="A1">
      <selection activeCell="A21" sqref="A21"/>
    </sheetView>
  </sheetViews>
  <sheetFormatPr defaultColWidth="11.421875" defaultRowHeight="12.75"/>
  <cols>
    <col min="1" max="1" width="22.7109375" style="0" customWidth="1"/>
    <col min="2" max="6" width="12.7109375" style="0" customWidth="1"/>
    <col min="7" max="17" width="10.7109375" style="0" customWidth="1"/>
    <col min="21" max="21" width="12.57421875" style="0" bestFit="1" customWidth="1"/>
  </cols>
  <sheetData>
    <row r="1" spans="1:2" ht="15.75">
      <c r="A1" s="23"/>
      <c r="B1" s="23"/>
    </row>
    <row r="2" spans="1:23" ht="15.75">
      <c r="A2" s="671" t="s">
        <v>94</v>
      </c>
      <c r="B2" s="2"/>
      <c r="C2" s="2"/>
      <c r="D2" s="2"/>
      <c r="E2" s="2"/>
      <c r="F2" s="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>
      <c r="A3" s="25"/>
      <c r="B3" s="25"/>
      <c r="C3" s="25"/>
      <c r="D3" s="25"/>
      <c r="E3" s="25"/>
      <c r="F3" s="2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1"/>
      <c r="W3" s="26"/>
    </row>
    <row r="4" spans="9:23" ht="13.5" thickBot="1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1"/>
      <c r="W4" s="26"/>
    </row>
    <row r="5" spans="1:23" ht="16.5" customHeight="1" thickBot="1">
      <c r="A5" s="257"/>
      <c r="B5" s="937" t="s">
        <v>58</v>
      </c>
      <c r="C5" s="938"/>
      <c r="D5" s="938"/>
      <c r="E5" s="938"/>
      <c r="F5" s="93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1"/>
      <c r="W5" s="26"/>
    </row>
    <row r="6" spans="1:23" ht="12.75" customHeight="1">
      <c r="A6" s="258" t="s">
        <v>18</v>
      </c>
      <c r="B6" s="940" t="s">
        <v>40</v>
      </c>
      <c r="C6" s="942" t="s">
        <v>41</v>
      </c>
      <c r="D6" s="942" t="s">
        <v>42</v>
      </c>
      <c r="E6" s="944" t="s">
        <v>43</v>
      </c>
      <c r="F6" s="946" t="s">
        <v>0</v>
      </c>
      <c r="G6" s="2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1"/>
      <c r="W6" s="26"/>
    </row>
    <row r="7" spans="1:23" ht="15.75" customHeight="1" thickBot="1">
      <c r="A7" s="259"/>
      <c r="B7" s="941"/>
      <c r="C7" s="943"/>
      <c r="D7" s="943"/>
      <c r="E7" s="945"/>
      <c r="F7" s="947"/>
      <c r="G7" s="2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1"/>
      <c r="W7" s="26"/>
    </row>
    <row r="8" spans="1:12" ht="12.75">
      <c r="A8" s="86">
        <v>1995</v>
      </c>
      <c r="B8" s="91">
        <v>229035.54403785348</v>
      </c>
      <c r="C8" s="59">
        <v>200811.42160772084</v>
      </c>
      <c r="D8" s="59">
        <v>355896.20422925544</v>
      </c>
      <c r="E8" s="59">
        <v>40932.83181491251</v>
      </c>
      <c r="F8" s="94">
        <f aca="true" t="shared" si="0" ref="F8:F20">B8+C8+D8+E8</f>
        <v>826676.0016897422</v>
      </c>
      <c r="G8" s="27"/>
      <c r="I8" s="130"/>
      <c r="J8" s="130"/>
      <c r="K8" s="130"/>
      <c r="L8" s="130"/>
    </row>
    <row r="9" spans="1:12" ht="12.75">
      <c r="A9" s="86">
        <v>1996</v>
      </c>
      <c r="B9" s="91">
        <v>258447.72612741796</v>
      </c>
      <c r="C9" s="59">
        <v>213222.6714817289</v>
      </c>
      <c r="D9" s="59">
        <v>372677.7759955188</v>
      </c>
      <c r="E9" s="59">
        <v>49022.22153615176</v>
      </c>
      <c r="F9" s="94">
        <f t="shared" si="0"/>
        <v>893370.3951408174</v>
      </c>
      <c r="G9" s="27"/>
      <c r="I9" s="130"/>
      <c r="J9" s="130"/>
      <c r="K9" s="130"/>
      <c r="L9" s="130"/>
    </row>
    <row r="10" spans="1:12" ht="12.75">
      <c r="A10" s="86">
        <v>1997</v>
      </c>
      <c r="B10" s="91">
        <v>355516.10470524785</v>
      </c>
      <c r="C10" s="59">
        <v>221239.00181128312</v>
      </c>
      <c r="D10" s="59">
        <v>392117.28436542355</v>
      </c>
      <c r="E10" s="59">
        <v>50665.14573498242</v>
      </c>
      <c r="F10" s="94">
        <f t="shared" si="0"/>
        <v>1019537.5366169369</v>
      </c>
      <c r="G10" s="27"/>
      <c r="I10" s="130"/>
      <c r="J10" s="130"/>
      <c r="K10" s="130"/>
      <c r="L10" s="130"/>
    </row>
    <row r="11" spans="1:12" ht="12.75">
      <c r="A11" s="86">
        <v>1998</v>
      </c>
      <c r="B11" s="91">
        <v>405108.5881039902</v>
      </c>
      <c r="C11" s="59">
        <v>175416.57536486135</v>
      </c>
      <c r="D11" s="59">
        <v>362781.2183589289</v>
      </c>
      <c r="E11" s="59">
        <v>44838.588717470884</v>
      </c>
      <c r="F11" s="94">
        <f t="shared" si="0"/>
        <v>988144.9705452513</v>
      </c>
      <c r="G11" s="27"/>
      <c r="I11" s="130"/>
      <c r="J11" s="130"/>
      <c r="K11" s="130"/>
      <c r="L11" s="130"/>
    </row>
    <row r="12" spans="1:12" ht="12.75">
      <c r="A12" s="86">
        <v>1999</v>
      </c>
      <c r="B12" s="91">
        <v>419536.4476394161</v>
      </c>
      <c r="C12" s="59">
        <v>170042.7141646184</v>
      </c>
      <c r="D12" s="59">
        <v>358196.5456484213</v>
      </c>
      <c r="E12" s="59">
        <v>44183.660814274546</v>
      </c>
      <c r="F12" s="94">
        <f t="shared" si="0"/>
        <v>991959.3682667303</v>
      </c>
      <c r="G12" s="27"/>
      <c r="I12" s="130"/>
      <c r="J12" s="130"/>
      <c r="K12" s="130"/>
      <c r="L12" s="130"/>
    </row>
    <row r="13" spans="1:12" ht="12.75">
      <c r="A13" s="86">
        <v>2000</v>
      </c>
      <c r="B13" s="91">
        <v>470947.3194047269</v>
      </c>
      <c r="C13" s="59">
        <v>197172.92008066195</v>
      </c>
      <c r="D13" s="59">
        <v>396689.5818287808</v>
      </c>
      <c r="E13" s="59">
        <v>48259.678954052164</v>
      </c>
      <c r="F13" s="94">
        <f t="shared" si="0"/>
        <v>1113069.5002682218</v>
      </c>
      <c r="G13" s="27"/>
      <c r="I13" s="130"/>
      <c r="J13" s="130"/>
      <c r="K13" s="130"/>
      <c r="L13" s="130"/>
    </row>
    <row r="14" spans="1:12" ht="12.75">
      <c r="A14" s="86">
        <v>2001</v>
      </c>
      <c r="B14" s="91">
        <v>479868.2340975174</v>
      </c>
      <c r="C14" s="59">
        <v>202560.16293720153</v>
      </c>
      <c r="D14" s="59">
        <v>406024.2542681364</v>
      </c>
      <c r="E14" s="59">
        <v>50905.86253569314</v>
      </c>
      <c r="F14" s="94">
        <f t="shared" si="0"/>
        <v>1139358.5138385484</v>
      </c>
      <c r="G14" s="27"/>
      <c r="I14" s="130"/>
      <c r="J14" s="130"/>
      <c r="K14" s="130"/>
      <c r="L14" s="130"/>
    </row>
    <row r="15" spans="1:12" ht="12.75">
      <c r="A15" s="86">
        <v>2002</v>
      </c>
      <c r="B15" s="91">
        <v>488098.27845652425</v>
      </c>
      <c r="C15" s="59">
        <v>223817.5306764326</v>
      </c>
      <c r="D15" s="59">
        <v>400798.0547307923</v>
      </c>
      <c r="E15" s="59">
        <v>44353.29640398425</v>
      </c>
      <c r="F15" s="94">
        <f t="shared" si="0"/>
        <v>1157067.1602677335</v>
      </c>
      <c r="G15" s="27"/>
      <c r="I15" s="130"/>
      <c r="J15" s="130"/>
      <c r="K15" s="130"/>
      <c r="L15" s="130"/>
    </row>
    <row r="16" spans="1:12" ht="12.75">
      <c r="A16" s="86">
        <v>2003</v>
      </c>
      <c r="B16" s="91">
        <v>506532.8631156623</v>
      </c>
      <c r="C16" s="59">
        <v>238398.63946284784</v>
      </c>
      <c r="D16" s="59">
        <v>427974.9681613485</v>
      </c>
      <c r="E16" s="59">
        <v>44303.67292973665</v>
      </c>
      <c r="F16" s="94">
        <f t="shared" si="0"/>
        <v>1217210.1436695952</v>
      </c>
      <c r="G16" s="27"/>
      <c r="I16" s="130"/>
      <c r="J16" s="130"/>
      <c r="K16" s="130"/>
      <c r="L16" s="130"/>
    </row>
    <row r="17" spans="1:12" ht="12.75">
      <c r="A17" s="86">
        <v>2004</v>
      </c>
      <c r="B17" s="91">
        <v>596267.0443261712</v>
      </c>
      <c r="C17" s="59">
        <v>257743.9102776775</v>
      </c>
      <c r="D17" s="59">
        <v>470011.6333799953</v>
      </c>
      <c r="E17" s="59">
        <v>58277.423826264436</v>
      </c>
      <c r="F17" s="94">
        <f t="shared" si="0"/>
        <v>1382300.0118101083</v>
      </c>
      <c r="G17" s="27"/>
      <c r="I17" s="130"/>
      <c r="J17" s="130"/>
      <c r="K17" s="130"/>
      <c r="L17" s="130"/>
    </row>
    <row r="18" spans="1:12" ht="12.75">
      <c r="A18" s="86">
        <v>2005</v>
      </c>
      <c r="B18" s="91">
        <v>669716.05900216</v>
      </c>
      <c r="C18" s="59">
        <v>300420.25850854366</v>
      </c>
      <c r="D18" s="59">
        <v>544065.3677454039</v>
      </c>
      <c r="E18" s="59">
        <v>65007.58584027138</v>
      </c>
      <c r="F18" s="94">
        <f t="shared" si="0"/>
        <v>1579209.2710963788</v>
      </c>
      <c r="G18" s="27"/>
      <c r="I18" s="130"/>
      <c r="J18" s="130"/>
      <c r="K18" s="130"/>
      <c r="L18" s="130"/>
    </row>
    <row r="19" spans="1:12" ht="12.75">
      <c r="A19" s="133">
        <v>2006</v>
      </c>
      <c r="B19" s="91">
        <v>715993.8422671348</v>
      </c>
      <c r="C19" s="59">
        <v>317868.59748703917</v>
      </c>
      <c r="D19" s="59">
        <v>579597.9869781262</v>
      </c>
      <c r="E19" s="59">
        <v>69708.47757360786</v>
      </c>
      <c r="F19" s="94">
        <f t="shared" si="0"/>
        <v>1683168.9043059081</v>
      </c>
      <c r="G19" s="27"/>
      <c r="I19" s="130"/>
      <c r="J19" s="130"/>
      <c r="K19" s="130"/>
      <c r="L19" s="130"/>
    </row>
    <row r="20" spans="1:12" ht="12.75">
      <c r="A20" s="133">
        <v>2007</v>
      </c>
      <c r="B20" s="91">
        <v>794759.591697835</v>
      </c>
      <c r="C20" s="59">
        <v>340153.5027192707</v>
      </c>
      <c r="D20" s="59">
        <v>628258.8982124339</v>
      </c>
      <c r="E20" s="59">
        <v>67459.67080470189</v>
      </c>
      <c r="F20" s="94">
        <f t="shared" si="0"/>
        <v>1830631.6634342417</v>
      </c>
      <c r="G20" s="27"/>
      <c r="I20" s="130"/>
      <c r="J20" s="130"/>
      <c r="K20" s="130"/>
      <c r="L20" s="130"/>
    </row>
    <row r="21" spans="1:12" ht="12.75">
      <c r="A21" s="133">
        <v>2008</v>
      </c>
      <c r="B21" s="91">
        <v>1027831.8916520025</v>
      </c>
      <c r="C21" s="59">
        <v>399555.0703387963</v>
      </c>
      <c r="D21" s="59">
        <v>716691.0101019627</v>
      </c>
      <c r="E21" s="59">
        <v>72022.00109060491</v>
      </c>
      <c r="F21" s="94">
        <f>B21+C21+D21+E21</f>
        <v>2216099.9731833665</v>
      </c>
      <c r="G21" s="27"/>
      <c r="I21" s="130"/>
      <c r="J21" s="130"/>
      <c r="K21" s="130"/>
      <c r="L21" s="130"/>
    </row>
    <row r="22" spans="1:13" ht="12.75">
      <c r="A22" s="133">
        <v>2009</v>
      </c>
      <c r="B22" s="91">
        <v>910151.8288537087</v>
      </c>
      <c r="C22" s="59">
        <v>454550.7666593908</v>
      </c>
      <c r="D22" s="59">
        <v>792475.9295777844</v>
      </c>
      <c r="E22" s="59">
        <v>78879.62873892274</v>
      </c>
      <c r="F22" s="94">
        <f>B22+C22+D22+E22</f>
        <v>2236058.1538298065</v>
      </c>
      <c r="G22" s="27"/>
      <c r="I22" s="131"/>
      <c r="J22" s="131"/>
      <c r="K22" s="131"/>
      <c r="L22" s="131"/>
      <c r="M22" s="132"/>
    </row>
    <row r="23" spans="1:13" ht="12.75">
      <c r="A23" s="133">
        <v>2010</v>
      </c>
      <c r="B23" s="91">
        <v>971594.0860168211</v>
      </c>
      <c r="C23" s="59">
        <v>526340.0543340939</v>
      </c>
      <c r="D23" s="59">
        <v>864962.4236910528</v>
      </c>
      <c r="E23" s="59">
        <v>85638.46416099064</v>
      </c>
      <c r="F23" s="94">
        <f>B23+C23+D23+E23</f>
        <v>2448535.0282029584</v>
      </c>
      <c r="G23" s="27"/>
      <c r="I23" s="131"/>
      <c r="J23" s="131"/>
      <c r="K23" s="131"/>
      <c r="L23" s="131"/>
      <c r="M23" s="132"/>
    </row>
    <row r="24" spans="1:13" ht="12.75">
      <c r="A24" s="133">
        <v>2011</v>
      </c>
      <c r="B24" s="91">
        <v>1196612.7704490384</v>
      </c>
      <c r="C24" s="59">
        <v>568041.6832032925</v>
      </c>
      <c r="D24" s="59">
        <v>999500.053600992</v>
      </c>
      <c r="E24" s="59">
        <v>96237.04810547354</v>
      </c>
      <c r="F24" s="94">
        <f>B24+C24+D24+E24</f>
        <v>2860391.5553587964</v>
      </c>
      <c r="G24" s="27"/>
      <c r="I24" s="131"/>
      <c r="J24" s="131"/>
      <c r="K24" s="131"/>
      <c r="L24" s="131"/>
      <c r="M24" s="132"/>
    </row>
    <row r="25" spans="1:13" ht="12.75">
      <c r="A25" s="133">
        <v>2012</v>
      </c>
      <c r="B25" s="91">
        <v>1371848.1339120453</v>
      </c>
      <c r="C25" s="59">
        <v>685924.0669560226</v>
      </c>
      <c r="D25" s="59">
        <v>1177781.8125293658</v>
      </c>
      <c r="E25" s="59">
        <v>110417.04492462805</v>
      </c>
      <c r="F25" s="94">
        <v>3345971.058322062</v>
      </c>
      <c r="G25" s="27"/>
      <c r="I25" s="131"/>
      <c r="J25" s="131"/>
      <c r="K25" s="131"/>
      <c r="L25" s="131"/>
      <c r="M25" s="132"/>
    </row>
    <row r="26" spans="1:13" ht="13.5" thickBot="1">
      <c r="A26" s="133"/>
      <c r="B26" s="91"/>
      <c r="C26" s="59"/>
      <c r="D26" s="59"/>
      <c r="E26" s="59"/>
      <c r="F26" s="94"/>
      <c r="G26" s="27"/>
      <c r="I26" s="131"/>
      <c r="J26" s="131"/>
      <c r="K26" s="131"/>
      <c r="L26" s="131"/>
      <c r="M26" s="132"/>
    </row>
    <row r="27" spans="1:7" ht="12.75">
      <c r="A27" s="205" t="s">
        <v>109</v>
      </c>
      <c r="B27" s="188">
        <f>(B25/B24)-1</f>
        <v>0.14644283246053647</v>
      </c>
      <c r="C27" s="189">
        <f>(C25/C24)-1</f>
        <v>0.20752417866232875</v>
      </c>
      <c r="D27" s="189">
        <f>(D25/D24)-1</f>
        <v>0.17837093483493227</v>
      </c>
      <c r="E27" s="189">
        <f>(E25/E24)-1</f>
        <v>0.14734446970582016</v>
      </c>
      <c r="F27" s="190">
        <f>(F25/F24)-1</f>
        <v>0.16975980160952342</v>
      </c>
      <c r="G27" s="27"/>
    </row>
    <row r="28" spans="1:7" ht="12.75">
      <c r="A28" s="97" t="s">
        <v>110</v>
      </c>
      <c r="B28" s="191">
        <f>+(B25/B20)^(1/5)-1</f>
        <v>0.11535739681280766</v>
      </c>
      <c r="C28" s="192">
        <f>+(C25/C20)^(1/5)-1</f>
        <v>0.15058900272938147</v>
      </c>
      <c r="D28" s="192">
        <f>+(D25/D20)^(1/5)-1</f>
        <v>0.13392737238136587</v>
      </c>
      <c r="E28" s="192">
        <f>+(E25/E20)^(1/5)-1</f>
        <v>0.10356617469092622</v>
      </c>
      <c r="F28" s="193">
        <f>+(F25/F20)^(1/5)-1</f>
        <v>0.1281951854625305</v>
      </c>
      <c r="G28" s="27"/>
    </row>
    <row r="29" spans="1:7" ht="12.75">
      <c r="A29" s="62" t="s">
        <v>111</v>
      </c>
      <c r="B29" s="191">
        <f>+B25/B13-1</f>
        <v>1.9129545437184965</v>
      </c>
      <c r="C29" s="213">
        <f>+C25/C13-1</f>
        <v>2.4787944849394954</v>
      </c>
      <c r="D29" s="213">
        <f>+D25/D13-1</f>
        <v>1.9690263280917724</v>
      </c>
      <c r="E29" s="213">
        <f>+E25/E13-1</f>
        <v>1.287977195823363</v>
      </c>
      <c r="F29" s="668">
        <f>+F25/F13-1</f>
        <v>2.0060755932273473</v>
      </c>
      <c r="G29" s="214"/>
    </row>
    <row r="30" spans="1:7" ht="13.5" thickBot="1">
      <c r="A30" s="64" t="s">
        <v>112</v>
      </c>
      <c r="B30" s="669">
        <f>+(B25/B13)^(1/12)-1</f>
        <v>0.093187043139344</v>
      </c>
      <c r="C30" s="194">
        <f>+(C25/C13)^(1/12)-1</f>
        <v>0.10947894380479428</v>
      </c>
      <c r="D30" s="194">
        <f>+(D25/D13)^(1/12)-1</f>
        <v>0.09492533305262363</v>
      </c>
      <c r="E30" s="194">
        <f>+(E25/E13)^(1/12)-1</f>
        <v>0.07140657600827982</v>
      </c>
      <c r="F30" s="195">
        <f>+(F25/F13)^(1/12)-1</f>
        <v>0.09605746626174327</v>
      </c>
      <c r="G30" s="27"/>
    </row>
    <row r="31" spans="1:7" ht="12.75">
      <c r="A31" s="102"/>
      <c r="B31" s="6"/>
      <c r="C31" s="6"/>
      <c r="D31" s="6"/>
      <c r="E31" s="6"/>
      <c r="F31" s="6"/>
      <c r="G31" s="27"/>
    </row>
    <row r="32" spans="2:7" ht="15.75">
      <c r="B32" s="26"/>
      <c r="C32" s="26"/>
      <c r="D32" s="26"/>
      <c r="E32" s="23"/>
      <c r="F32" s="24"/>
      <c r="G32" s="27"/>
    </row>
    <row r="33" ht="12.75">
      <c r="G33" s="27"/>
    </row>
    <row r="34" ht="12.75">
      <c r="G34" s="2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21" top="0.94" bottom="1" header="0" footer="0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15" zoomScaleSheetLayoutView="115" zoomScalePageLayoutView="0" workbookViewId="0" topLeftCell="A28">
      <selection activeCell="N67" sqref="N67"/>
    </sheetView>
  </sheetViews>
  <sheetFormatPr defaultColWidth="11.421875" defaultRowHeight="12.75"/>
  <cols>
    <col min="1" max="1" width="18.57421875" style="0" customWidth="1"/>
    <col min="2" max="5" width="12.7109375" style="0" customWidth="1"/>
    <col min="6" max="6" width="15.28125" style="0" customWidth="1"/>
    <col min="7" max="9" width="10.7109375" style="0" customWidth="1"/>
    <col min="10" max="10" width="15.5742187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1.7109375" style="0" customWidth="1"/>
    <col min="15" max="17" width="10.7109375" style="0" customWidth="1"/>
    <col min="21" max="21" width="12.57421875" style="0" bestFit="1" customWidth="1"/>
  </cols>
  <sheetData>
    <row r="1" spans="1:14" ht="15.75">
      <c r="A1" s="23"/>
      <c r="B1" s="23"/>
      <c r="J1" t="s">
        <v>81</v>
      </c>
      <c r="K1" s="670" t="s">
        <v>82</v>
      </c>
      <c r="L1" s="670" t="s">
        <v>83</v>
      </c>
      <c r="M1" s="670" t="s">
        <v>84</v>
      </c>
      <c r="N1" s="670" t="s">
        <v>85</v>
      </c>
    </row>
    <row r="2" spans="1:23" ht="15.75">
      <c r="A2" s="671" t="s">
        <v>95</v>
      </c>
      <c r="B2" s="134"/>
      <c r="C2" s="2"/>
      <c r="D2" s="2"/>
      <c r="E2" s="2"/>
      <c r="F2" s="2"/>
      <c r="I2" s="21"/>
      <c r="J2" s="21">
        <v>2012</v>
      </c>
      <c r="K2" s="5">
        <v>6.443756284222769</v>
      </c>
      <c r="L2" s="5">
        <v>10.752504132700258</v>
      </c>
      <c r="M2" s="5">
        <v>13.207553733899042</v>
      </c>
      <c r="N2" s="5">
        <v>13.348177858241117</v>
      </c>
      <c r="O2" s="5">
        <v>8.989257869472778</v>
      </c>
      <c r="P2" s="21"/>
      <c r="Q2" s="21"/>
      <c r="R2" s="21"/>
      <c r="S2" s="21"/>
      <c r="T2" s="21"/>
      <c r="U2" s="21"/>
      <c r="V2" s="21"/>
      <c r="W2" s="21"/>
    </row>
    <row r="3" spans="1:23" ht="15">
      <c r="A3" s="25"/>
      <c r="B3" s="25"/>
      <c r="C3" s="25"/>
      <c r="D3" s="25"/>
      <c r="E3" s="25"/>
      <c r="F3" s="25"/>
      <c r="I3" s="5"/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1"/>
      <c r="W3" s="26"/>
    </row>
    <row r="4" spans="9:23" ht="13.5" thickBot="1">
      <c r="I4" s="5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1"/>
      <c r="W4" s="26"/>
    </row>
    <row r="5" spans="1:23" ht="16.5" customHeight="1" thickBot="1">
      <c r="A5" s="672"/>
      <c r="B5" s="948" t="s">
        <v>86</v>
      </c>
      <c r="C5" s="949"/>
      <c r="D5" s="949"/>
      <c r="E5" s="949"/>
      <c r="F5" s="950"/>
      <c r="I5" s="5"/>
      <c r="J5" s="5" t="s">
        <v>87</v>
      </c>
      <c r="P5" s="5"/>
      <c r="Q5" s="5"/>
      <c r="R5" s="5"/>
      <c r="S5" s="5"/>
      <c r="T5" s="5"/>
      <c r="U5" s="5"/>
      <c r="V5" s="101"/>
      <c r="W5" s="26"/>
    </row>
    <row r="6" spans="1:23" ht="12.75" customHeight="1">
      <c r="A6" s="673" t="s">
        <v>18</v>
      </c>
      <c r="B6" s="951" t="s">
        <v>40</v>
      </c>
      <c r="C6" s="953" t="s">
        <v>41</v>
      </c>
      <c r="D6" s="953" t="s">
        <v>42</v>
      </c>
      <c r="E6" s="955" t="s">
        <v>43</v>
      </c>
      <c r="F6" s="957" t="s">
        <v>90</v>
      </c>
      <c r="G6" s="27"/>
      <c r="I6" s="5"/>
      <c r="J6" s="21">
        <v>2012</v>
      </c>
      <c r="K6" s="5">
        <f>K2*10</f>
        <v>64.43756284222769</v>
      </c>
      <c r="L6" s="5">
        <f>L2*10</f>
        <v>107.52504132700258</v>
      </c>
      <c r="M6" s="5">
        <f>M2*10</f>
        <v>132.07553733899042</v>
      </c>
      <c r="N6" s="5">
        <f>N2*10</f>
        <v>133.48177858241118</v>
      </c>
      <c r="O6" s="5">
        <f>O2*10</f>
        <v>89.89257869472779</v>
      </c>
      <c r="P6" s="5"/>
      <c r="Q6" s="5"/>
      <c r="R6" s="5"/>
      <c r="S6" s="5"/>
      <c r="T6" s="5"/>
      <c r="U6" s="5"/>
      <c r="V6" s="101"/>
      <c r="W6" s="26"/>
    </row>
    <row r="7" spans="1:23" ht="15.75" customHeight="1" thickBot="1">
      <c r="A7" s="674"/>
      <c r="B7" s="952"/>
      <c r="C7" s="954"/>
      <c r="D7" s="954"/>
      <c r="E7" s="956"/>
      <c r="F7" s="958"/>
      <c r="G7" s="27"/>
      <c r="I7" s="5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1"/>
      <c r="W7" s="26"/>
    </row>
    <row r="8" spans="1:15" ht="12.75">
      <c r="A8" s="675"/>
      <c r="B8" s="676"/>
      <c r="C8" s="677"/>
      <c r="D8" s="677"/>
      <c r="E8" s="677"/>
      <c r="F8" s="678"/>
      <c r="G8" s="27"/>
      <c r="J8" s="21"/>
      <c r="K8" s="5"/>
      <c r="L8" s="5"/>
      <c r="M8" s="5"/>
      <c r="N8" s="5"/>
      <c r="O8" s="5"/>
    </row>
    <row r="9" spans="1:7" ht="12.75">
      <c r="A9" s="679">
        <v>1995</v>
      </c>
      <c r="B9" s="680">
        <v>5.7782302810253094</v>
      </c>
      <c r="C9" s="681">
        <v>8.930236767278458</v>
      </c>
      <c r="D9" s="681">
        <v>11.283446398970833</v>
      </c>
      <c r="E9" s="681">
        <v>8.480380509442004</v>
      </c>
      <c r="F9" s="682">
        <v>8.393283624979105</v>
      </c>
      <c r="G9" s="265"/>
    </row>
    <row r="10" spans="1:7" ht="12.75">
      <c r="A10" s="675">
        <v>1996</v>
      </c>
      <c r="B10" s="676">
        <v>6.003018190974908</v>
      </c>
      <c r="C10" s="677">
        <v>9.069490468416461</v>
      </c>
      <c r="D10" s="677">
        <v>11.700802658519068</v>
      </c>
      <c r="E10" s="677">
        <v>10.015867859658382</v>
      </c>
      <c r="F10" s="678">
        <v>8.647646690205814</v>
      </c>
      <c r="G10" s="27"/>
    </row>
    <row r="11" spans="1:7" ht="12.75">
      <c r="A11" s="679">
        <v>1997</v>
      </c>
      <c r="B11" s="680">
        <v>5.86841218488873</v>
      </c>
      <c r="C11" s="681">
        <v>8.920555677874598</v>
      </c>
      <c r="D11" s="681">
        <v>11.582177535507025</v>
      </c>
      <c r="E11" s="681">
        <v>9.605258607546249</v>
      </c>
      <c r="F11" s="682">
        <v>8.188247240008057</v>
      </c>
      <c r="G11" s="27"/>
    </row>
    <row r="12" spans="1:7" ht="12.75">
      <c r="A12" s="675">
        <v>1998</v>
      </c>
      <c r="B12" s="676">
        <v>5.42034791739235</v>
      </c>
      <c r="C12" s="677">
        <v>7.431544947493249</v>
      </c>
      <c r="D12" s="677">
        <v>9.96843399442005</v>
      </c>
      <c r="E12" s="677">
        <v>8.380024919859448</v>
      </c>
      <c r="F12" s="678">
        <v>7.0538222851775645</v>
      </c>
      <c r="G12" s="27"/>
    </row>
    <row r="13" spans="1:7" ht="12.75">
      <c r="A13" s="679">
        <v>1999</v>
      </c>
      <c r="B13" s="680">
        <v>5.340603488459393</v>
      </c>
      <c r="C13" s="681">
        <v>7.02568748356065</v>
      </c>
      <c r="D13" s="681">
        <v>9.494434904668308</v>
      </c>
      <c r="E13" s="681">
        <v>8.132461037046669</v>
      </c>
      <c r="F13" s="682">
        <v>6.798013749180917</v>
      </c>
      <c r="G13" s="27"/>
    </row>
    <row r="14" spans="1:7" ht="12.75">
      <c r="A14" s="675">
        <v>2000</v>
      </c>
      <c r="B14" s="676">
        <v>5.623240393552686</v>
      </c>
      <c r="C14" s="677">
        <v>7.32074284220981</v>
      </c>
      <c r="D14" s="677">
        <v>10.077877207303533</v>
      </c>
      <c r="E14" s="677">
        <v>8.920590888132166</v>
      </c>
      <c r="F14" s="678">
        <v>7.160031104190919</v>
      </c>
      <c r="G14" s="27"/>
    </row>
    <row r="15" spans="1:11" ht="12.75">
      <c r="A15" s="679">
        <v>2001</v>
      </c>
      <c r="B15" s="680">
        <v>5.170681855739894</v>
      </c>
      <c r="C15" s="681">
        <v>7.33328016400444</v>
      </c>
      <c r="D15" s="681">
        <v>10.040241931531753</v>
      </c>
      <c r="E15" s="681">
        <v>9.391850960397145</v>
      </c>
      <c r="F15" s="682">
        <v>6.851736911514183</v>
      </c>
      <c r="G15" s="27"/>
      <c r="K15" s="683"/>
    </row>
    <row r="16" spans="1:11" ht="12.75">
      <c r="A16" s="675">
        <v>2002</v>
      </c>
      <c r="B16" s="676">
        <v>5.101571642227621</v>
      </c>
      <c r="C16" s="677">
        <v>7.428110464437447</v>
      </c>
      <c r="D16" s="677">
        <v>8.97669069848606</v>
      </c>
      <c r="E16" s="677">
        <v>7.924064483903257</v>
      </c>
      <c r="F16" s="678">
        <v>6.572256424100436</v>
      </c>
      <c r="G16" s="27"/>
      <c r="K16" s="683"/>
    </row>
    <row r="17" spans="1:7" ht="12.75">
      <c r="A17" s="679">
        <v>2003</v>
      </c>
      <c r="B17" s="680">
        <v>5.045811028696983</v>
      </c>
      <c r="C17" s="681">
        <v>7.1353528490967735</v>
      </c>
      <c r="D17" s="681">
        <v>9.671012358653732</v>
      </c>
      <c r="E17" s="681">
        <v>7.7695003248875425</v>
      </c>
      <c r="F17" s="682">
        <v>6.624152034461948</v>
      </c>
      <c r="G17" s="27"/>
    </row>
    <row r="18" spans="1:7" ht="12.75">
      <c r="A18" s="675">
        <v>2004</v>
      </c>
      <c r="B18" s="676">
        <v>5.380562684656785</v>
      </c>
      <c r="C18" s="677">
        <v>7.7661883737661785</v>
      </c>
      <c r="D18" s="677">
        <v>9.957854254756237</v>
      </c>
      <c r="E18" s="677">
        <v>9.673280906557887</v>
      </c>
      <c r="F18" s="678">
        <v>7.0379541088956685</v>
      </c>
      <c r="G18" s="27"/>
    </row>
    <row r="19" spans="1:7" ht="12.75">
      <c r="A19" s="684">
        <v>2005</v>
      </c>
      <c r="B19" s="680">
        <v>5.771045156535736</v>
      </c>
      <c r="C19" s="681">
        <v>8.469438388136206</v>
      </c>
      <c r="D19" s="681">
        <v>10.83636761874177</v>
      </c>
      <c r="E19" s="681">
        <v>10.2855760316503</v>
      </c>
      <c r="F19" s="682">
        <v>7.628520665665924</v>
      </c>
      <c r="G19" s="27"/>
    </row>
    <row r="20" spans="1:7" ht="12.75">
      <c r="A20" s="685">
        <v>2006</v>
      </c>
      <c r="B20" s="676">
        <v>5.732124833700338</v>
      </c>
      <c r="C20" s="677">
        <v>8.19559620434823</v>
      </c>
      <c r="D20" s="677">
        <v>10.756475285056688</v>
      </c>
      <c r="E20" s="677">
        <v>10.825611995897283</v>
      </c>
      <c r="F20" s="678">
        <v>7.551208104601234</v>
      </c>
      <c r="G20" s="27"/>
    </row>
    <row r="21" spans="1:15" ht="12.75">
      <c r="A21" s="684">
        <v>2007</v>
      </c>
      <c r="B21" s="680">
        <v>5.597572426714631</v>
      </c>
      <c r="C21" s="681">
        <v>8.25688295854472</v>
      </c>
      <c r="D21" s="681">
        <v>10.68990130553876</v>
      </c>
      <c r="E21" s="681">
        <v>10.292187443523428</v>
      </c>
      <c r="F21" s="682">
        <v>7.404944110282578</v>
      </c>
      <c r="G21" s="27"/>
      <c r="L21" s="670" t="s">
        <v>82</v>
      </c>
      <c r="M21" s="670" t="s">
        <v>83</v>
      </c>
      <c r="N21" s="670" t="s">
        <v>84</v>
      </c>
      <c r="O21" s="670" t="s">
        <v>85</v>
      </c>
    </row>
    <row r="22" spans="1:16" ht="12.75">
      <c r="A22" s="685">
        <v>2008</v>
      </c>
      <c r="B22" s="676">
        <v>6.658126506723528</v>
      </c>
      <c r="C22" s="677">
        <v>8.8890837350718</v>
      </c>
      <c r="D22" s="677">
        <v>11.273478337353472</v>
      </c>
      <c r="E22" s="677">
        <v>10.67078841366945</v>
      </c>
      <c r="F22" s="678">
        <v>8.218609624523832</v>
      </c>
      <c r="G22" s="27"/>
      <c r="J22">
        <v>2012</v>
      </c>
      <c r="K22" s="661" t="s">
        <v>88</v>
      </c>
      <c r="L22">
        <v>1371848.1339120453</v>
      </c>
      <c r="M22">
        <v>685924.0669560226</v>
      </c>
      <c r="N22">
        <v>1177781.8125293658</v>
      </c>
      <c r="O22">
        <v>110417.04492462805</v>
      </c>
      <c r="P22">
        <v>3345971.058322062</v>
      </c>
    </row>
    <row r="23" spans="1:16" ht="12.75">
      <c r="A23" s="684">
        <v>2009</v>
      </c>
      <c r="B23" s="680">
        <v>6.090844286502383</v>
      </c>
      <c r="C23" s="681">
        <v>9.440147856287034</v>
      </c>
      <c r="D23" s="681">
        <v>11.926617410595755</v>
      </c>
      <c r="E23" s="681">
        <v>11.525785044073674</v>
      </c>
      <c r="F23" s="682">
        <v>8.255095348074532</v>
      </c>
      <c r="G23" s="27"/>
      <c r="J23" s="686"/>
      <c r="K23" s="687" t="s">
        <v>80</v>
      </c>
      <c r="L23">
        <v>18689.465278642438</v>
      </c>
      <c r="M23">
        <v>6061.447981064225</v>
      </c>
      <c r="N23">
        <v>8110.004099312681</v>
      </c>
      <c r="O23">
        <v>785.4731269806538</v>
      </c>
      <c r="P23">
        <v>33646.390486</v>
      </c>
    </row>
    <row r="24" spans="1:14" ht="12.75">
      <c r="A24" s="685">
        <v>2010</v>
      </c>
      <c r="B24" s="676">
        <v>5.911842555797673</v>
      </c>
      <c r="C24" s="677">
        <v>10.110599528616511</v>
      </c>
      <c r="D24" s="677">
        <v>12.206216169236948</v>
      </c>
      <c r="E24" s="677">
        <v>12.072008153137142</v>
      </c>
      <c r="F24" s="678">
        <v>8.318115440910699</v>
      </c>
      <c r="G24" s="265"/>
      <c r="K24" s="661"/>
      <c r="L24" s="686"/>
      <c r="M24" s="686"/>
      <c r="N24" s="686"/>
    </row>
    <row r="25" spans="1:11" ht="12.75">
      <c r="A25" s="684">
        <v>2011</v>
      </c>
      <c r="B25" s="680">
        <v>6.443756284222769</v>
      </c>
      <c r="C25" s="681">
        <v>10.752504132700258</v>
      </c>
      <c r="D25" s="681">
        <v>13.207553733899042</v>
      </c>
      <c r="E25" s="681">
        <v>13.348177858241117</v>
      </c>
      <c r="F25" s="682">
        <v>8.989257869472778</v>
      </c>
      <c r="G25" s="265"/>
      <c r="I25" s="688"/>
      <c r="J25" s="688"/>
      <c r="K25" s="687"/>
    </row>
    <row r="26" spans="1:11" ht="12.75">
      <c r="A26" s="685">
        <v>2012</v>
      </c>
      <c r="B26" s="676">
        <v>7.340221421314485</v>
      </c>
      <c r="C26" s="677">
        <v>11.316175097086175</v>
      </c>
      <c r="D26" s="677">
        <v>14.522579743568592</v>
      </c>
      <c r="E26" s="677">
        <v>14.057393070730429</v>
      </c>
      <c r="F26" s="678">
        <v>9.944517108645858</v>
      </c>
      <c r="G26" s="265"/>
      <c r="I26" s="688"/>
      <c r="J26" s="688"/>
      <c r="K26" s="687"/>
    </row>
    <row r="27" spans="1:7" ht="13.5" thickBot="1">
      <c r="A27" s="684"/>
      <c r="B27" s="680"/>
      <c r="C27" s="681"/>
      <c r="D27" s="681"/>
      <c r="E27" s="681"/>
      <c r="F27" s="682"/>
      <c r="G27" s="265"/>
    </row>
    <row r="28" spans="1:16" ht="12.75">
      <c r="A28" s="689" t="s">
        <v>109</v>
      </c>
      <c r="B28" s="690">
        <f>(B26/B25)-1</f>
        <v>0.13912151508378234</v>
      </c>
      <c r="C28" s="691">
        <f>(C26/C25)-1</f>
        <v>0.05242229693004208</v>
      </c>
      <c r="D28" s="691">
        <f>(D26/D25)-1</f>
        <v>0.09956620553390971</v>
      </c>
      <c r="E28" s="691">
        <f>(E26/E25)-1</f>
        <v>0.05313198700386246</v>
      </c>
      <c r="F28" s="692">
        <f>(F26/F25)-1</f>
        <v>0.10626675227741633</v>
      </c>
      <c r="G28" s="265"/>
      <c r="L28" s="101"/>
      <c r="M28" s="101"/>
      <c r="N28" s="101"/>
      <c r="O28" s="101"/>
      <c r="P28" s="101"/>
    </row>
    <row r="29" spans="1:16" ht="12.75">
      <c r="A29" s="693" t="s">
        <v>110</v>
      </c>
      <c r="B29" s="694">
        <f>((B26/B21)^(1/5))-1</f>
        <v>0.05570332123111821</v>
      </c>
      <c r="C29" s="695">
        <f>((C26/C21)^(1/5))-1</f>
        <v>0.06506645389881394</v>
      </c>
      <c r="D29" s="695">
        <f>((D26/D21)^(1/5))-1</f>
        <v>0.06319766675410277</v>
      </c>
      <c r="E29" s="695">
        <f>((E26/E21)^(1/5))-1</f>
        <v>0.06433763803165671</v>
      </c>
      <c r="F29" s="696">
        <f>((F26/F21)^(1/5))-1</f>
        <v>0.06074839387818831</v>
      </c>
      <c r="G29" s="27"/>
      <c r="L29" s="101"/>
      <c r="M29" s="101"/>
      <c r="N29" s="101"/>
      <c r="O29" s="101"/>
      <c r="P29" s="101"/>
    </row>
    <row r="30" spans="1:16" ht="12.75">
      <c r="A30" s="697" t="s">
        <v>111</v>
      </c>
      <c r="B30" s="698">
        <f>(B26/B14)-1</f>
        <v>0.30533658666458585</v>
      </c>
      <c r="C30" s="699">
        <f>(C26/C14)-1</f>
        <v>0.5457686932860928</v>
      </c>
      <c r="D30" s="699">
        <f>(D26/D14)-1</f>
        <v>0.44103559160692485</v>
      </c>
      <c r="E30" s="699">
        <f>(E26/E14)-1</f>
        <v>0.5758365389709998</v>
      </c>
      <c r="F30" s="700">
        <f>(F26/F14)-1</f>
        <v>0.3888930039459073</v>
      </c>
      <c r="G30" s="27"/>
      <c r="J30" s="686"/>
      <c r="K30" s="686"/>
      <c r="L30" s="101"/>
      <c r="M30" s="101"/>
      <c r="N30" s="101"/>
      <c r="O30" s="101"/>
      <c r="P30" s="101"/>
    </row>
    <row r="31" spans="1:14" ht="13.5" thickBot="1">
      <c r="A31" s="701" t="s">
        <v>112</v>
      </c>
      <c r="B31" s="702">
        <f>((B26/B14)^(1/12))-1</f>
        <v>0.022453445025857333</v>
      </c>
      <c r="C31" s="703">
        <f>((C26/C14)^(1/12))-1</f>
        <v>0.036960091110760596</v>
      </c>
      <c r="D31" s="703">
        <f>((D26/D14)^(1/12))-1</f>
        <v>0.03091507964397122</v>
      </c>
      <c r="E31" s="703">
        <f>((E26/E14)^(1/12))-1</f>
        <v>0.038626176338112606</v>
      </c>
      <c r="F31" s="704">
        <f>((F26/F14)^(1/12))-1</f>
        <v>0.027753740011193573</v>
      </c>
      <c r="G31" s="27"/>
      <c r="J31" s="686"/>
      <c r="K31" s="686"/>
      <c r="L31" s="686"/>
      <c r="M31" s="686"/>
      <c r="N31" s="686"/>
    </row>
    <row r="32" spans="1:14" ht="12.75">
      <c r="A32" s="705" t="s">
        <v>89</v>
      </c>
      <c r="B32" s="6"/>
      <c r="C32" s="6"/>
      <c r="D32" s="6"/>
      <c r="E32" s="6"/>
      <c r="F32" s="6"/>
      <c r="G32" s="27"/>
      <c r="I32" s="688"/>
      <c r="J32" s="686"/>
      <c r="K32" s="686"/>
      <c r="L32" s="686"/>
      <c r="M32" s="686"/>
      <c r="N32" s="686"/>
    </row>
    <row r="33" spans="2:7" ht="15.75">
      <c r="B33" s="26"/>
      <c r="C33" s="26"/>
      <c r="D33" s="26"/>
      <c r="E33" s="23"/>
      <c r="F33" s="24"/>
      <c r="G33" s="27"/>
    </row>
    <row r="34" spans="2:7" ht="15.75">
      <c r="B34" s="26"/>
      <c r="C34" s="26"/>
      <c r="D34" s="26"/>
      <c r="E34" s="23"/>
      <c r="F34" s="24"/>
      <c r="G34" s="27"/>
    </row>
    <row r="35" spans="1:7" ht="15.75">
      <c r="A35" s="102"/>
      <c r="B35" s="26"/>
      <c r="C35" s="26"/>
      <c r="D35" s="26"/>
      <c r="E35" s="23"/>
      <c r="F35" s="24"/>
      <c r="G35" s="27"/>
    </row>
    <row r="36" ht="12.75">
      <c r="G36" s="27"/>
    </row>
    <row r="37" ht="12.75">
      <c r="G37" s="2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05" top="0.94" bottom="1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7" width="16.140625" style="0" customWidth="1"/>
    <col min="8" max="8" width="16.8515625" style="0" customWidth="1"/>
    <col min="9" max="9" width="13.8515625" style="0" customWidth="1"/>
    <col min="10" max="10" width="15.8515625" style="0" customWidth="1"/>
    <col min="11" max="12" width="13.421875" style="0" customWidth="1"/>
    <col min="13" max="13" width="12.421875" style="0" customWidth="1"/>
    <col min="14" max="14" width="49.28125" style="6" customWidth="1"/>
    <col min="15" max="15" width="2.8515625" style="0" customWidth="1"/>
  </cols>
  <sheetData>
    <row r="3" spans="1:7" ht="20.25">
      <c r="A3" s="135" t="s">
        <v>96</v>
      </c>
      <c r="C3" s="7"/>
      <c r="D3" s="7"/>
      <c r="E3" s="7"/>
      <c r="F3" s="7"/>
      <c r="G3" s="7"/>
    </row>
    <row r="4" spans="2:7" ht="18">
      <c r="B4" s="136"/>
      <c r="C4" s="7"/>
      <c r="D4" s="7"/>
      <c r="E4" s="7"/>
      <c r="F4" s="7"/>
      <c r="G4" s="7"/>
    </row>
    <row r="5" spans="2:18" ht="13.5" thickBot="1">
      <c r="B5" s="137"/>
      <c r="C5" s="137"/>
      <c r="D5" s="137"/>
      <c r="E5" s="137"/>
      <c r="F5" s="137"/>
      <c r="G5" s="137"/>
      <c r="K5" s="6"/>
      <c r="L5" s="31"/>
      <c r="M5" s="31"/>
      <c r="N5" s="31"/>
      <c r="O5" s="31"/>
      <c r="P5" s="31"/>
      <c r="Q5" s="7"/>
      <c r="R5" s="7"/>
    </row>
    <row r="6" spans="2:18" ht="12.75">
      <c r="B6" s="260"/>
      <c r="C6" s="261" t="s">
        <v>59</v>
      </c>
      <c r="D6" s="933" t="s">
        <v>60</v>
      </c>
      <c r="E6" s="959"/>
      <c r="F6" s="960"/>
      <c r="G6" s="262" t="s">
        <v>13</v>
      </c>
      <c r="K6" s="6"/>
      <c r="L6" s="31"/>
      <c r="M6" s="31"/>
      <c r="N6" s="31"/>
      <c r="O6" s="31"/>
      <c r="P6" s="31"/>
      <c r="Q6" s="7"/>
      <c r="R6" s="7"/>
    </row>
    <row r="7" spans="2:18" ht="13.5" thickBot="1">
      <c r="B7" s="29" t="s">
        <v>18</v>
      </c>
      <c r="C7" s="29" t="s">
        <v>0</v>
      </c>
      <c r="D7" s="29" t="s">
        <v>0</v>
      </c>
      <c r="E7" s="29" t="s">
        <v>10</v>
      </c>
      <c r="F7" s="263" t="s">
        <v>11</v>
      </c>
      <c r="G7" s="264" t="s">
        <v>61</v>
      </c>
      <c r="K7" s="6"/>
      <c r="L7" s="31"/>
      <c r="M7" s="31"/>
      <c r="N7" s="31"/>
      <c r="O7" s="31"/>
      <c r="P7" s="31"/>
      <c r="Q7" s="7"/>
      <c r="R7" s="7"/>
    </row>
    <row r="8" spans="2:18" ht="12.75">
      <c r="B8" s="77">
        <v>1995</v>
      </c>
      <c r="C8" s="83">
        <f aca="true" t="shared" si="0" ref="C8:C17">SUM(E8+F8+G8)</f>
        <v>13623.056128000004</v>
      </c>
      <c r="D8" s="83">
        <f>+E8+F8</f>
        <v>9849.256128000005</v>
      </c>
      <c r="E8" s="142">
        <v>8673.708087000005</v>
      </c>
      <c r="F8" s="143">
        <v>1175.548041</v>
      </c>
      <c r="G8" s="219">
        <v>3773.8</v>
      </c>
      <c r="I8" s="26"/>
      <c r="J8" s="138"/>
      <c r="K8" s="6"/>
      <c r="L8" s="31"/>
      <c r="M8" s="139"/>
      <c r="N8" s="139"/>
      <c r="O8" s="31"/>
      <c r="P8" s="31"/>
      <c r="Q8" s="7"/>
      <c r="R8" s="7"/>
    </row>
    <row r="9" spans="2:18" ht="12.75">
      <c r="B9" s="77">
        <v>1996</v>
      </c>
      <c r="C9" s="83">
        <f t="shared" si="0"/>
        <v>14303.13959799999</v>
      </c>
      <c r="D9" s="83">
        <f aca="true" t="shared" si="1" ref="D9:D17">+E9+F9</f>
        <v>10330.839597999991</v>
      </c>
      <c r="E9" s="142">
        <v>8770.610735999991</v>
      </c>
      <c r="F9" s="143">
        <v>1560.228862</v>
      </c>
      <c r="G9" s="219">
        <v>3972.3</v>
      </c>
      <c r="I9" s="26"/>
      <c r="J9" s="138"/>
      <c r="K9" s="6"/>
      <c r="L9" s="31"/>
      <c r="M9" s="140"/>
      <c r="N9" s="140"/>
      <c r="O9" s="140"/>
      <c r="P9" s="31"/>
      <c r="Q9" s="7"/>
      <c r="R9" s="7"/>
    </row>
    <row r="10" spans="2:18" ht="12.75">
      <c r="B10" s="77">
        <v>1997</v>
      </c>
      <c r="C10" s="83">
        <f t="shared" si="0"/>
        <v>15056.08015999999</v>
      </c>
      <c r="D10" s="83">
        <f t="shared" si="1"/>
        <v>12451.23015999999</v>
      </c>
      <c r="E10" s="142">
        <v>9377.89467999999</v>
      </c>
      <c r="F10" s="143">
        <v>3073.3354799999997</v>
      </c>
      <c r="G10" s="219">
        <v>2604.85</v>
      </c>
      <c r="I10" s="26"/>
      <c r="J10" s="138"/>
      <c r="K10" s="6"/>
      <c r="L10" s="31"/>
      <c r="M10" s="140"/>
      <c r="N10" s="140"/>
      <c r="O10" s="140"/>
      <c r="P10" s="31"/>
      <c r="Q10" s="7"/>
      <c r="R10" s="7"/>
    </row>
    <row r="11" spans="2:18" ht="12.75">
      <c r="B11" s="77">
        <v>1998</v>
      </c>
      <c r="C11" s="83">
        <f t="shared" si="0"/>
        <v>15775.176823</v>
      </c>
      <c r="D11" s="83">
        <f t="shared" si="1"/>
        <v>14008.576823</v>
      </c>
      <c r="E11" s="142">
        <v>9878.661572999998</v>
      </c>
      <c r="F11" s="143">
        <v>4129.915250000001</v>
      </c>
      <c r="G11" s="219">
        <v>1766.6</v>
      </c>
      <c r="I11" s="26"/>
      <c r="J11" s="138"/>
      <c r="K11" s="6"/>
      <c r="L11" s="31"/>
      <c r="M11" s="140"/>
      <c r="N11" s="140"/>
      <c r="O11" s="140"/>
      <c r="P11" s="31"/>
      <c r="Q11" s="7"/>
      <c r="R11" s="7"/>
    </row>
    <row r="12" spans="2:18" ht="12.75">
      <c r="B12" s="77">
        <v>1999</v>
      </c>
      <c r="C12" s="83">
        <f t="shared" si="0"/>
        <v>16274.991559000011</v>
      </c>
      <c r="D12" s="83">
        <f t="shared" si="1"/>
        <v>14591.991559000011</v>
      </c>
      <c r="E12" s="142">
        <v>10198.991027000011</v>
      </c>
      <c r="F12" s="143">
        <v>4393.000532</v>
      </c>
      <c r="G12" s="219">
        <v>1683</v>
      </c>
      <c r="I12" s="26"/>
      <c r="J12" s="138"/>
      <c r="K12" s="6"/>
      <c r="L12" s="31"/>
      <c r="M12" s="140"/>
      <c r="N12" s="140"/>
      <c r="O12" s="140"/>
      <c r="P12" s="31"/>
      <c r="Q12" s="7"/>
      <c r="R12" s="7"/>
    </row>
    <row r="13" spans="2:18" ht="12.75">
      <c r="B13" s="77">
        <v>2000</v>
      </c>
      <c r="C13" s="83">
        <f t="shared" si="0"/>
        <v>17140.395011000015</v>
      </c>
      <c r="D13" s="83">
        <f t="shared" si="1"/>
        <v>15545.595392000014</v>
      </c>
      <c r="E13" s="142">
        <v>10763.269271000014</v>
      </c>
      <c r="F13" s="143">
        <v>4782.326121</v>
      </c>
      <c r="G13" s="219">
        <v>1594.799619</v>
      </c>
      <c r="I13" s="26"/>
      <c r="J13" s="138"/>
      <c r="K13" s="6"/>
      <c r="L13" s="31"/>
      <c r="M13" s="31"/>
      <c r="N13" s="31"/>
      <c r="O13" s="31"/>
      <c r="P13" s="31"/>
      <c r="Q13" s="7"/>
      <c r="R13" s="7"/>
    </row>
    <row r="14" spans="2:18" ht="12.75">
      <c r="B14" s="77">
        <v>2001</v>
      </c>
      <c r="C14" s="83">
        <f t="shared" si="0"/>
        <v>18199.95454499999</v>
      </c>
      <c r="D14" s="83">
        <f t="shared" si="1"/>
        <v>16628.75454499999</v>
      </c>
      <c r="E14" s="142">
        <v>10522.374724999987</v>
      </c>
      <c r="F14" s="143">
        <v>6106.37982</v>
      </c>
      <c r="G14" s="219">
        <v>1571.2</v>
      </c>
      <c r="I14" s="26"/>
      <c r="J14" s="138"/>
      <c r="K14" s="6"/>
      <c r="L14" s="31"/>
      <c r="M14" s="31"/>
      <c r="N14" s="140"/>
      <c r="O14" s="31"/>
      <c r="P14" s="31"/>
      <c r="Q14" s="7"/>
      <c r="R14" s="7"/>
    </row>
    <row r="15" spans="2:18" ht="12.75">
      <c r="B15" s="77">
        <v>2002</v>
      </c>
      <c r="C15" s="83">
        <f t="shared" si="0"/>
        <v>19168.140412848003</v>
      </c>
      <c r="D15" s="83">
        <f t="shared" si="1"/>
        <v>17605.325913848</v>
      </c>
      <c r="E15" s="142">
        <v>11113.547163000001</v>
      </c>
      <c r="F15" s="143">
        <v>6491.778750848</v>
      </c>
      <c r="G15" s="219">
        <v>1562.8144990000035</v>
      </c>
      <c r="I15" s="26"/>
      <c r="J15" s="138"/>
      <c r="K15" s="6"/>
      <c r="L15" s="31"/>
      <c r="M15" s="31"/>
      <c r="N15" s="140"/>
      <c r="O15" s="31"/>
      <c r="P15" s="31"/>
      <c r="Q15" s="7"/>
      <c r="R15" s="7"/>
    </row>
    <row r="16" spans="2:16" ht="12.75">
      <c r="B16" s="82">
        <v>2003</v>
      </c>
      <c r="C16" s="83">
        <f>SUM(E16+F16+G16)</f>
        <v>19937.226353999995</v>
      </c>
      <c r="D16" s="83">
        <f t="shared" si="1"/>
        <v>18375.335409999996</v>
      </c>
      <c r="E16" s="142">
        <v>11303.613572999999</v>
      </c>
      <c r="F16" s="143">
        <v>7071.721836999998</v>
      </c>
      <c r="G16" s="219">
        <v>1561.8909439999998</v>
      </c>
      <c r="I16" s="26"/>
      <c r="J16" s="138"/>
      <c r="K16" s="6"/>
      <c r="L16" s="6"/>
      <c r="M16" s="6"/>
      <c r="N16" s="140"/>
      <c r="O16" s="6"/>
      <c r="P16" s="6"/>
    </row>
    <row r="17" spans="2:16" ht="12.75">
      <c r="B17" s="77">
        <v>2004</v>
      </c>
      <c r="C17" s="83">
        <f t="shared" si="0"/>
        <v>21287.72439</v>
      </c>
      <c r="D17" s="83">
        <f t="shared" si="1"/>
        <v>19640.65111</v>
      </c>
      <c r="E17" s="142">
        <v>12001.305316</v>
      </c>
      <c r="F17" s="143">
        <v>7639.345794000001</v>
      </c>
      <c r="G17" s="219">
        <v>1647.0732800000003</v>
      </c>
      <c r="I17" s="26"/>
      <c r="J17" s="138"/>
      <c r="K17" s="6"/>
      <c r="L17" s="6"/>
      <c r="M17" s="6"/>
      <c r="N17" s="140"/>
      <c r="O17" s="6"/>
      <c r="P17" s="6"/>
    </row>
    <row r="18" spans="2:14" ht="12.75">
      <c r="B18" s="77">
        <v>2005</v>
      </c>
      <c r="C18" s="83">
        <f aca="true" t="shared" si="2" ref="C18:C24">SUM(E18+F18+G18)</f>
        <v>22400.244750429476</v>
      </c>
      <c r="D18" s="83">
        <f aca="true" t="shared" si="3" ref="D18:D24">+E18+F18</f>
        <v>20701.382880222223</v>
      </c>
      <c r="E18" s="142">
        <v>12914.287800222222</v>
      </c>
      <c r="F18" s="143">
        <v>7787.095080000001</v>
      </c>
      <c r="G18" s="219">
        <v>1698.861870207253</v>
      </c>
      <c r="I18" s="26"/>
      <c r="J18" s="138"/>
      <c r="N18" s="140"/>
    </row>
    <row r="19" spans="2:14" ht="12.75">
      <c r="B19" s="77">
        <v>2006</v>
      </c>
      <c r="C19" s="83">
        <f t="shared" si="2"/>
        <v>24046.12609062141</v>
      </c>
      <c r="D19" s="83">
        <f t="shared" si="3"/>
        <v>22290.061152999995</v>
      </c>
      <c r="E19" s="142">
        <v>14043.638326999999</v>
      </c>
      <c r="F19" s="143">
        <v>8246.422825999998</v>
      </c>
      <c r="G19" s="219">
        <v>1756.064937621414</v>
      </c>
      <c r="I19" s="26"/>
      <c r="J19" s="138"/>
      <c r="N19" s="140"/>
    </row>
    <row r="20" spans="2:14" ht="12.75">
      <c r="B20" s="77">
        <v>2007</v>
      </c>
      <c r="C20" s="83">
        <f t="shared" si="2"/>
        <v>26464.30460466</v>
      </c>
      <c r="D20" s="83">
        <f t="shared" si="3"/>
        <v>24721.748552999998</v>
      </c>
      <c r="E20" s="142">
        <v>15032.180854999999</v>
      </c>
      <c r="F20" s="143">
        <v>9689.567697999999</v>
      </c>
      <c r="G20" s="219">
        <v>1742.55605166</v>
      </c>
      <c r="J20" s="138"/>
      <c r="N20" s="140"/>
    </row>
    <row r="21" spans="2:14" ht="12.75">
      <c r="B21" s="77">
        <v>2008</v>
      </c>
      <c r="C21" s="83">
        <f t="shared" si="2"/>
        <v>28833.06706300001</v>
      </c>
      <c r="D21" s="83">
        <f t="shared" si="3"/>
        <v>26964.41459600001</v>
      </c>
      <c r="E21" s="142">
        <v>16297.176545000008</v>
      </c>
      <c r="F21" s="143">
        <v>10667.238051000004</v>
      </c>
      <c r="G21" s="219">
        <v>1868.652467</v>
      </c>
      <c r="H21" s="184"/>
      <c r="J21" s="138"/>
      <c r="N21" s="140"/>
    </row>
    <row r="22" spans="2:14" ht="12.75">
      <c r="B22" s="82">
        <v>2009</v>
      </c>
      <c r="C22" s="83">
        <f t="shared" si="2"/>
        <v>29109.838815000003</v>
      </c>
      <c r="D22" s="83">
        <f t="shared" si="3"/>
        <v>27087.005777000002</v>
      </c>
      <c r="E22" s="142">
        <v>17000.664145000002</v>
      </c>
      <c r="F22" s="143">
        <v>10086.341632</v>
      </c>
      <c r="G22" s="219">
        <v>2022.8330379999998</v>
      </c>
      <c r="H22" s="184"/>
      <c r="J22" s="138"/>
      <c r="N22" s="140"/>
    </row>
    <row r="23" spans="2:14" ht="12.75">
      <c r="B23" s="82">
        <v>2010</v>
      </c>
      <c r="C23" s="83">
        <f t="shared" si="2"/>
        <v>31798.367258000002</v>
      </c>
      <c r="D23" s="83">
        <f t="shared" si="3"/>
        <v>29436.175124</v>
      </c>
      <c r="E23" s="142">
        <v>18195.325098</v>
      </c>
      <c r="F23" s="143">
        <v>11240.850026</v>
      </c>
      <c r="G23" s="219">
        <v>2362.192134000001</v>
      </c>
      <c r="H23" s="184"/>
      <c r="J23" s="138"/>
      <c r="N23" s="140"/>
    </row>
    <row r="24" spans="2:14" ht="12.75">
      <c r="B24" s="82">
        <v>2011</v>
      </c>
      <c r="C24" s="83">
        <f t="shared" si="2"/>
        <v>34352.60161976362</v>
      </c>
      <c r="D24" s="83">
        <f t="shared" si="3"/>
        <v>31817.953050000007</v>
      </c>
      <c r="E24" s="142">
        <v>19750.642943000003</v>
      </c>
      <c r="F24" s="143">
        <v>12067.310107000005</v>
      </c>
      <c r="G24" s="219">
        <v>2534.64856976361</v>
      </c>
      <c r="H24" s="184"/>
      <c r="J24" s="138"/>
      <c r="N24" s="140"/>
    </row>
    <row r="25" spans="2:14" ht="13.5" thickBot="1">
      <c r="B25" s="243">
        <v>2012</v>
      </c>
      <c r="C25" s="83">
        <v>36313.717196407946</v>
      </c>
      <c r="D25" s="83">
        <v>33646.390486000004</v>
      </c>
      <c r="E25" s="142">
        <v>20945.499936</v>
      </c>
      <c r="F25" s="143">
        <v>12700.89055</v>
      </c>
      <c r="G25" s="219">
        <v>2667.326710407946</v>
      </c>
      <c r="H25" s="184"/>
      <c r="J25" s="138"/>
      <c r="N25" s="140"/>
    </row>
    <row r="26" spans="2:14" ht="12.75">
      <c r="B26" s="97" t="s">
        <v>119</v>
      </c>
      <c r="C26" s="141">
        <f>(C25/C24)-1</f>
        <v>0.05708783277468177</v>
      </c>
      <c r="D26" s="141">
        <f>(D25/D24)-1</f>
        <v>0.05746558972938076</v>
      </c>
      <c r="E26" s="141">
        <f>(E25/E24)-1</f>
        <v>0.06049711882536357</v>
      </c>
      <c r="F26" s="141">
        <f>(F25/F24)-1</f>
        <v>0.052503866842078306</v>
      </c>
      <c r="G26" s="141">
        <f>(G25/G24)-1</f>
        <v>0.05234577377987759</v>
      </c>
      <c r="H26" s="184"/>
      <c r="N26" s="140"/>
    </row>
    <row r="27" spans="2:8" ht="12.75">
      <c r="B27" s="97" t="s">
        <v>117</v>
      </c>
      <c r="C27" s="175">
        <f>((C25/C20)^(1/5))-1</f>
        <v>0.06532481687593017</v>
      </c>
      <c r="D27" s="175">
        <f>((D25/D20)^(1/5))-1</f>
        <v>0.06358415621799884</v>
      </c>
      <c r="E27" s="175">
        <f>((E25/E20)^(1/5))-1</f>
        <v>0.06859650077345614</v>
      </c>
      <c r="F27" s="175">
        <f>((F25/F20)^(1/5))-1</f>
        <v>0.05561597623003611</v>
      </c>
      <c r="G27" s="175">
        <f>((G25/G20)^(1/5))-1</f>
        <v>0.08887466081278905</v>
      </c>
      <c r="H27" s="184"/>
    </row>
    <row r="28" spans="2:8" ht="12.75">
      <c r="B28" s="62" t="s">
        <v>120</v>
      </c>
      <c r="C28" s="173">
        <f>((C25/C13)^(1/12))-1</f>
        <v>0.06456166568244925</v>
      </c>
      <c r="D28" s="173">
        <f>((D25/D13)^(1/12))-1</f>
        <v>0.06645923673425247</v>
      </c>
      <c r="E28" s="173">
        <f>((E25/E13)^(1/12))-1</f>
        <v>0.05705003218863114</v>
      </c>
      <c r="F28" s="173">
        <f>((F25/F13)^(1/12))-1</f>
        <v>0.0847997640812097</v>
      </c>
      <c r="G28" s="173">
        <f>((G25/G13)^(1/12))-1</f>
        <v>0.04379250540702606</v>
      </c>
      <c r="H28" s="184"/>
    </row>
    <row r="29" spans="2:8" ht="13.5" thickBot="1">
      <c r="B29" s="157" t="s">
        <v>111</v>
      </c>
      <c r="C29" s="218">
        <f>+C25/C13-1</f>
        <v>1.1186044529955854</v>
      </c>
      <c r="D29" s="218">
        <f>+D25/D13-1</f>
        <v>1.164368082248874</v>
      </c>
      <c r="E29" s="218">
        <f>+E25/E13-1</f>
        <v>0.9460165316531153</v>
      </c>
      <c r="F29" s="218">
        <f>+F25/F13-1</f>
        <v>1.6557976659576288</v>
      </c>
      <c r="G29" s="218">
        <f>+G25/G13-1</f>
        <v>0.6725152668900569</v>
      </c>
      <c r="H29" s="184"/>
    </row>
    <row r="31" ht="12.75">
      <c r="B31" s="102"/>
    </row>
  </sheetData>
  <sheetProtection/>
  <mergeCells count="1">
    <mergeCell ref="D6:F6"/>
  </mergeCells>
  <printOptions/>
  <pageMargins left="1.07" right="1.16" top="1.03" bottom="1" header="0" footer="0"/>
  <pageSetup fitToHeight="1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54"/>
  <sheetViews>
    <sheetView view="pageBreakPreview" zoomScale="115" zoomScaleSheetLayoutView="115" zoomScalePageLayoutView="0" workbookViewId="0" topLeftCell="A52">
      <selection activeCell="M29" sqref="M29"/>
    </sheetView>
  </sheetViews>
  <sheetFormatPr defaultColWidth="11.421875" defaultRowHeight="12.75"/>
  <cols>
    <col min="1" max="1" width="10.140625" style="0" customWidth="1"/>
    <col min="2" max="2" width="7.421875" style="0" customWidth="1"/>
    <col min="3" max="3" width="11.57421875" style="0" customWidth="1"/>
    <col min="4" max="4" width="2.28125" style="0" customWidth="1"/>
    <col min="5" max="5" width="7.7109375" style="0" customWidth="1"/>
    <col min="6" max="6" width="1.28515625" style="0" customWidth="1"/>
    <col min="7" max="7" width="7.57421875" style="0" customWidth="1"/>
    <col min="8" max="8" width="1.28515625" style="0" customWidth="1"/>
    <col min="9" max="9" width="7.57421875" style="0" customWidth="1"/>
    <col min="10" max="10" width="1.28515625" style="0" customWidth="1"/>
    <col min="11" max="11" width="7.57421875" style="0" customWidth="1"/>
    <col min="12" max="12" width="1.28515625" style="0" customWidth="1"/>
    <col min="13" max="13" width="9.57421875" style="0" customWidth="1"/>
    <col min="14" max="14" width="1.1484375" style="0" customWidth="1"/>
    <col min="15" max="15" width="8.28125" style="0" customWidth="1"/>
    <col min="16" max="16" width="1.1484375" style="0" customWidth="1"/>
    <col min="17" max="17" width="7.57421875" style="0" customWidth="1"/>
    <col min="18" max="18" width="1.28515625" style="0" customWidth="1"/>
    <col min="19" max="19" width="7.57421875" style="0" customWidth="1"/>
    <col min="20" max="20" width="1.28515625" style="0" customWidth="1"/>
    <col min="22" max="22" width="1.28515625" style="0" customWidth="1"/>
    <col min="23" max="23" width="12.57421875" style="0" customWidth="1"/>
    <col min="24" max="24" width="1.28515625" style="0" customWidth="1"/>
    <col min="26" max="26" width="1.28515625" style="0" customWidth="1"/>
    <col min="27" max="27" width="2.140625" style="0" customWidth="1"/>
    <col min="28" max="28" width="1.28515625" style="0" customWidth="1"/>
    <col min="29" max="29" width="10.00390625" style="0" customWidth="1"/>
    <col min="38" max="38" width="11.7109375" style="0" bestFit="1" customWidth="1"/>
    <col min="39" max="39" width="11.8515625" style="0" bestFit="1" customWidth="1"/>
  </cols>
  <sheetData>
    <row r="3" ht="18">
      <c r="A3" s="9" t="s">
        <v>62</v>
      </c>
    </row>
    <row r="5" ht="13.5" thickBot="1"/>
    <row r="6" spans="1:29" s="12" customFormat="1" ht="18" customHeight="1">
      <c r="A6" s="933" t="s">
        <v>18</v>
      </c>
      <c r="B6" s="973"/>
      <c r="C6" s="934" t="s">
        <v>27</v>
      </c>
      <c r="D6" s="934"/>
      <c r="E6" s="933" t="s">
        <v>19</v>
      </c>
      <c r="F6" s="934"/>
      <c r="G6" s="934"/>
      <c r="H6" s="934"/>
      <c r="I6" s="934"/>
      <c r="J6" s="934"/>
      <c r="K6" s="934"/>
      <c r="L6" s="47"/>
      <c r="M6" s="927" t="s">
        <v>25</v>
      </c>
      <c r="N6" s="983"/>
      <c r="O6" s="267"/>
      <c r="P6" s="267"/>
      <c r="Q6" s="277" t="s">
        <v>20</v>
      </c>
      <c r="R6" s="47"/>
      <c r="S6" s="47"/>
      <c r="T6" s="47"/>
      <c r="U6" s="47"/>
      <c r="V6" s="48"/>
      <c r="W6" s="981" t="s">
        <v>26</v>
      </c>
      <c r="X6" s="48"/>
      <c r="Y6" s="976" t="s">
        <v>45</v>
      </c>
      <c r="Z6" s="977"/>
      <c r="AC6" s="13"/>
    </row>
    <row r="7" spans="1:29" s="12" customFormat="1" ht="18" customHeight="1">
      <c r="A7" s="974"/>
      <c r="B7" s="975"/>
      <c r="C7" s="980" t="s">
        <v>28</v>
      </c>
      <c r="D7" s="980"/>
      <c r="E7" s="34" t="s">
        <v>21</v>
      </c>
      <c r="F7" s="35"/>
      <c r="G7" s="35" t="s">
        <v>22</v>
      </c>
      <c r="H7" s="35"/>
      <c r="I7" s="35" t="s">
        <v>23</v>
      </c>
      <c r="J7" s="35"/>
      <c r="K7" s="35" t="s">
        <v>24</v>
      </c>
      <c r="L7" s="35"/>
      <c r="M7" s="984"/>
      <c r="N7" s="985"/>
      <c r="O7" s="276" t="s">
        <v>21</v>
      </c>
      <c r="P7" s="276"/>
      <c r="Q7" s="34" t="s">
        <v>22</v>
      </c>
      <c r="R7" s="35"/>
      <c r="S7" s="33" t="s">
        <v>23</v>
      </c>
      <c r="T7" s="33"/>
      <c r="U7" s="33" t="s">
        <v>24</v>
      </c>
      <c r="V7" s="33"/>
      <c r="W7" s="982"/>
      <c r="X7" s="36"/>
      <c r="Y7" s="978" t="s">
        <v>44</v>
      </c>
      <c r="Z7" s="979"/>
      <c r="AC7" s="14"/>
    </row>
    <row r="8" spans="1:29" ht="12" customHeight="1">
      <c r="A8" s="967">
        <v>1995</v>
      </c>
      <c r="B8" s="968"/>
      <c r="C8" s="37">
        <f aca="true" t="shared" si="0" ref="C8:C25">SUM(M8,W8)</f>
        <v>2491835</v>
      </c>
      <c r="D8" s="38"/>
      <c r="E8" s="39">
        <v>7</v>
      </c>
      <c r="F8" s="40"/>
      <c r="G8" s="41">
        <v>28</v>
      </c>
      <c r="H8" s="40"/>
      <c r="I8" s="41">
        <v>156</v>
      </c>
      <c r="J8" s="40"/>
      <c r="K8" s="41">
        <v>15</v>
      </c>
      <c r="L8" s="49"/>
      <c r="M8" s="39">
        <f aca="true" t="shared" si="1" ref="M8:M15">SUM(E8,G8,I8,K8)</f>
        <v>206</v>
      </c>
      <c r="N8" s="42"/>
      <c r="O8" s="49"/>
      <c r="P8" s="49"/>
      <c r="Q8" s="39">
        <v>13</v>
      </c>
      <c r="R8" s="40"/>
      <c r="S8" s="37">
        <v>3747</v>
      </c>
      <c r="T8" s="43"/>
      <c r="U8" s="37">
        <v>2487869</v>
      </c>
      <c r="V8" s="38"/>
      <c r="W8" s="50">
        <f aca="true" t="shared" si="2" ref="W8:W23">SUM(Q8,S8,U8)</f>
        <v>2491629</v>
      </c>
      <c r="X8" s="44"/>
      <c r="Y8" s="46"/>
      <c r="Z8" s="42"/>
      <c r="AA8" s="6"/>
      <c r="AC8" s="22"/>
    </row>
    <row r="9" spans="1:29" ht="12" customHeight="1">
      <c r="A9" s="967">
        <v>1996</v>
      </c>
      <c r="B9" s="968"/>
      <c r="C9" s="37">
        <f t="shared" si="0"/>
        <v>2775713</v>
      </c>
      <c r="D9" s="38"/>
      <c r="E9" s="39">
        <v>8</v>
      </c>
      <c r="F9" s="40"/>
      <c r="G9" s="41">
        <v>28</v>
      </c>
      <c r="H9" s="40"/>
      <c r="I9" s="41">
        <v>153</v>
      </c>
      <c r="J9" s="40"/>
      <c r="K9" s="41">
        <v>10</v>
      </c>
      <c r="L9" s="49"/>
      <c r="M9" s="39">
        <f t="shared" si="1"/>
        <v>199</v>
      </c>
      <c r="N9" s="42"/>
      <c r="O9" s="49"/>
      <c r="P9" s="49"/>
      <c r="Q9" s="39">
        <v>15</v>
      </c>
      <c r="R9" s="40"/>
      <c r="S9" s="37">
        <v>4866</v>
      </c>
      <c r="T9" s="43"/>
      <c r="U9" s="37">
        <v>2770633</v>
      </c>
      <c r="V9" s="38"/>
      <c r="W9" s="50">
        <f t="shared" si="2"/>
        <v>2775514</v>
      </c>
      <c r="X9" s="44"/>
      <c r="Y9" s="46">
        <f aca="true" t="shared" si="3" ref="Y9:Y25">+(C9-C8)/C9</f>
        <v>0.10227210089803954</v>
      </c>
      <c r="Z9" s="42"/>
      <c r="AA9" s="6"/>
      <c r="AC9" s="22"/>
    </row>
    <row r="10" spans="1:29" ht="12" customHeight="1">
      <c r="A10" s="967">
        <v>1997</v>
      </c>
      <c r="B10" s="968"/>
      <c r="C10" s="37">
        <f t="shared" si="0"/>
        <v>2964315</v>
      </c>
      <c r="D10" s="38"/>
      <c r="E10" s="39">
        <v>11</v>
      </c>
      <c r="F10" s="40"/>
      <c r="G10" s="41">
        <v>35</v>
      </c>
      <c r="H10" s="40"/>
      <c r="I10" s="41">
        <v>157</v>
      </c>
      <c r="J10" s="40"/>
      <c r="K10" s="41">
        <v>9</v>
      </c>
      <c r="L10" s="49"/>
      <c r="M10" s="39">
        <f t="shared" si="1"/>
        <v>212</v>
      </c>
      <c r="N10" s="42"/>
      <c r="O10" s="49"/>
      <c r="P10" s="49"/>
      <c r="Q10" s="39">
        <v>17</v>
      </c>
      <c r="R10" s="40"/>
      <c r="S10" s="37">
        <v>4861</v>
      </c>
      <c r="T10" s="43"/>
      <c r="U10" s="37">
        <v>2959225</v>
      </c>
      <c r="V10" s="38"/>
      <c r="W10" s="50">
        <f t="shared" si="2"/>
        <v>2964103</v>
      </c>
      <c r="X10" s="44"/>
      <c r="Y10" s="46">
        <f t="shared" si="3"/>
        <v>0.0636241425084716</v>
      </c>
      <c r="Z10" s="42"/>
      <c r="AA10" s="6"/>
      <c r="AC10" s="22"/>
    </row>
    <row r="11" spans="1:29" ht="12" customHeight="1">
      <c r="A11" s="971">
        <v>1998</v>
      </c>
      <c r="B11" s="972"/>
      <c r="C11" s="145">
        <f t="shared" si="0"/>
        <v>3057320</v>
      </c>
      <c r="D11" s="146"/>
      <c r="E11" s="147">
        <v>17</v>
      </c>
      <c r="F11" s="148"/>
      <c r="G11" s="149">
        <v>37</v>
      </c>
      <c r="H11" s="148"/>
      <c r="I11" s="149">
        <v>163</v>
      </c>
      <c r="J11" s="148"/>
      <c r="K11" s="149">
        <v>1</v>
      </c>
      <c r="L11" s="150"/>
      <c r="M11" s="147">
        <f t="shared" si="1"/>
        <v>218</v>
      </c>
      <c r="N11" s="151"/>
      <c r="O11" s="150"/>
      <c r="P11" s="150"/>
      <c r="Q11" s="147">
        <v>13</v>
      </c>
      <c r="R11" s="148"/>
      <c r="S11" s="145">
        <v>5372</v>
      </c>
      <c r="T11" s="152"/>
      <c r="U11" s="145">
        <v>3051717</v>
      </c>
      <c r="V11" s="146"/>
      <c r="W11" s="153">
        <f t="shared" si="2"/>
        <v>3057102</v>
      </c>
      <c r="X11" s="154"/>
      <c r="Y11" s="155">
        <f t="shared" si="3"/>
        <v>0.030420433582353173</v>
      </c>
      <c r="Z11" s="151"/>
      <c r="AA11" s="6"/>
      <c r="AC11" s="22"/>
    </row>
    <row r="12" spans="1:29" ht="12" customHeight="1">
      <c r="A12" s="967">
        <v>1999</v>
      </c>
      <c r="B12" s="968"/>
      <c r="C12" s="37">
        <f t="shared" si="0"/>
        <v>3217058</v>
      </c>
      <c r="D12" s="38"/>
      <c r="E12" s="39">
        <v>13</v>
      </c>
      <c r="F12" s="40"/>
      <c r="G12" s="41">
        <v>41</v>
      </c>
      <c r="H12" s="40"/>
      <c r="I12" s="41">
        <v>168</v>
      </c>
      <c r="J12" s="40"/>
      <c r="K12" s="41">
        <v>1</v>
      </c>
      <c r="L12" s="49"/>
      <c r="M12" s="39">
        <f t="shared" si="1"/>
        <v>223</v>
      </c>
      <c r="N12" s="42"/>
      <c r="O12" s="49"/>
      <c r="P12" s="49"/>
      <c r="Q12" s="39">
        <v>20</v>
      </c>
      <c r="R12" s="40"/>
      <c r="S12" s="37">
        <v>5774</v>
      </c>
      <c r="T12" s="43"/>
      <c r="U12" s="37">
        <v>3211041</v>
      </c>
      <c r="V12" s="38"/>
      <c r="W12" s="50">
        <f t="shared" si="2"/>
        <v>3216835</v>
      </c>
      <c r="X12" s="44"/>
      <c r="Y12" s="46">
        <f t="shared" si="3"/>
        <v>0.04965344112540091</v>
      </c>
      <c r="Z12" s="42"/>
      <c r="AA12" s="6"/>
      <c r="AC12" s="22"/>
    </row>
    <row r="13" spans="1:29" ht="12" customHeight="1">
      <c r="A13" s="967">
        <v>2000</v>
      </c>
      <c r="B13" s="968"/>
      <c r="C13" s="37">
        <f t="shared" si="0"/>
        <v>3352209</v>
      </c>
      <c r="D13" s="38"/>
      <c r="E13" s="39">
        <v>15</v>
      </c>
      <c r="F13" s="40"/>
      <c r="G13" s="41">
        <v>40</v>
      </c>
      <c r="H13" s="40"/>
      <c r="I13" s="41">
        <v>174</v>
      </c>
      <c r="J13" s="40"/>
      <c r="K13" s="41"/>
      <c r="L13" s="49"/>
      <c r="M13" s="39">
        <f t="shared" si="1"/>
        <v>229</v>
      </c>
      <c r="N13" s="42"/>
      <c r="O13" s="49"/>
      <c r="P13" s="49"/>
      <c r="Q13" s="39">
        <v>9</v>
      </c>
      <c r="R13" s="40"/>
      <c r="S13" s="37">
        <v>6259</v>
      </c>
      <c r="T13" s="43"/>
      <c r="U13" s="37">
        <v>3345712</v>
      </c>
      <c r="V13" s="38"/>
      <c r="W13" s="50">
        <f t="shared" si="2"/>
        <v>3351980</v>
      </c>
      <c r="X13" s="44"/>
      <c r="Y13" s="46">
        <f t="shared" si="3"/>
        <v>0.040316996941419825</v>
      </c>
      <c r="Z13" s="42"/>
      <c r="AA13" s="6"/>
      <c r="AC13" s="22"/>
    </row>
    <row r="14" spans="1:29" ht="12" customHeight="1">
      <c r="A14" s="967">
        <v>2001</v>
      </c>
      <c r="B14" s="968"/>
      <c r="C14" s="37">
        <f t="shared" si="0"/>
        <v>3462851</v>
      </c>
      <c r="D14" s="38"/>
      <c r="E14" s="39">
        <v>23</v>
      </c>
      <c r="F14" s="40"/>
      <c r="G14" s="41">
        <v>38</v>
      </c>
      <c r="H14" s="40"/>
      <c r="I14" s="41">
        <v>180</v>
      </c>
      <c r="J14" s="40"/>
      <c r="K14" s="41"/>
      <c r="L14" s="49"/>
      <c r="M14" s="39">
        <f t="shared" si="1"/>
        <v>241</v>
      </c>
      <c r="N14" s="42"/>
      <c r="O14" s="49"/>
      <c r="P14" s="49"/>
      <c r="Q14" s="39">
        <v>9</v>
      </c>
      <c r="R14" s="40"/>
      <c r="S14" s="37">
        <v>6752</v>
      </c>
      <c r="T14" s="43"/>
      <c r="U14" s="37">
        <v>3455849</v>
      </c>
      <c r="V14" s="38"/>
      <c r="W14" s="50">
        <f t="shared" si="2"/>
        <v>3462610</v>
      </c>
      <c r="X14" s="44"/>
      <c r="Y14" s="46">
        <f t="shared" si="3"/>
        <v>0.0319511292862442</v>
      </c>
      <c r="Z14" s="42"/>
      <c r="AA14" s="6"/>
      <c r="AC14" s="22"/>
    </row>
    <row r="15" spans="1:29" ht="12" customHeight="1">
      <c r="A15" s="967">
        <v>2002</v>
      </c>
      <c r="B15" s="968"/>
      <c r="C15" s="37">
        <f t="shared" si="0"/>
        <v>3614484</v>
      </c>
      <c r="D15" s="38"/>
      <c r="E15" s="39">
        <v>32</v>
      </c>
      <c r="F15" s="40"/>
      <c r="G15" s="41">
        <v>41</v>
      </c>
      <c r="H15" s="40"/>
      <c r="I15" s="41">
        <v>188</v>
      </c>
      <c r="J15" s="40"/>
      <c r="K15" s="41"/>
      <c r="L15" s="49"/>
      <c r="M15" s="39">
        <f t="shared" si="1"/>
        <v>261</v>
      </c>
      <c r="N15" s="42"/>
      <c r="O15" s="49"/>
      <c r="P15" s="49"/>
      <c r="Q15" s="39">
        <v>11</v>
      </c>
      <c r="R15" s="40"/>
      <c r="S15" s="37">
        <v>7166</v>
      </c>
      <c r="T15" s="43"/>
      <c r="U15" s="37">
        <v>3607046</v>
      </c>
      <c r="V15" s="38"/>
      <c r="W15" s="50">
        <f t="shared" si="2"/>
        <v>3614223</v>
      </c>
      <c r="X15" s="44"/>
      <c r="Y15" s="46">
        <f t="shared" si="3"/>
        <v>0.0419514929378578</v>
      </c>
      <c r="Z15" s="42"/>
      <c r="AA15" s="6"/>
      <c r="AC15" s="22"/>
    </row>
    <row r="16" spans="1:29" ht="12" customHeight="1">
      <c r="A16" s="967">
        <v>2003</v>
      </c>
      <c r="B16" s="968"/>
      <c r="C16" s="37">
        <f t="shared" si="0"/>
        <v>3727266</v>
      </c>
      <c r="D16" s="38"/>
      <c r="E16" s="39">
        <v>37</v>
      </c>
      <c r="F16" s="40"/>
      <c r="G16" s="41">
        <v>35</v>
      </c>
      <c r="H16" s="40"/>
      <c r="I16" s="41">
        <v>175</v>
      </c>
      <c r="J16" s="40"/>
      <c r="K16" s="41"/>
      <c r="L16" s="49"/>
      <c r="M16" s="39">
        <f aca="true" t="shared" si="4" ref="M16:M25">SUM(E16,G16,I16,K16)</f>
        <v>247</v>
      </c>
      <c r="N16" s="42"/>
      <c r="O16" s="49"/>
      <c r="P16" s="49"/>
      <c r="Q16" s="39">
        <v>12</v>
      </c>
      <c r="R16" s="40"/>
      <c r="S16" s="37">
        <v>7598</v>
      </c>
      <c r="T16" s="43"/>
      <c r="U16" s="37">
        <v>3719409</v>
      </c>
      <c r="V16" s="38"/>
      <c r="W16" s="50">
        <f t="shared" si="2"/>
        <v>3727019</v>
      </c>
      <c r="X16" s="44"/>
      <c r="Y16" s="46">
        <f t="shared" si="3"/>
        <v>0.030258639979008742</v>
      </c>
      <c r="Z16" s="42"/>
      <c r="AA16" s="6"/>
      <c r="AC16" s="22"/>
    </row>
    <row r="17" spans="1:29" ht="12" customHeight="1">
      <c r="A17" s="967">
        <v>2004</v>
      </c>
      <c r="B17" s="968"/>
      <c r="C17" s="37">
        <f t="shared" si="0"/>
        <v>3860515</v>
      </c>
      <c r="D17" s="38"/>
      <c r="E17" s="39">
        <v>37</v>
      </c>
      <c r="F17" s="40"/>
      <c r="G17" s="41">
        <v>33</v>
      </c>
      <c r="H17" s="40"/>
      <c r="I17" s="41">
        <v>175</v>
      </c>
      <c r="J17" s="40"/>
      <c r="K17" s="41"/>
      <c r="L17" s="49"/>
      <c r="M17" s="39">
        <f t="shared" si="4"/>
        <v>245</v>
      </c>
      <c r="N17" s="42"/>
      <c r="O17" s="49"/>
      <c r="P17" s="49"/>
      <c r="Q17" s="39">
        <v>19</v>
      </c>
      <c r="R17" s="40"/>
      <c r="S17" s="37">
        <v>8120</v>
      </c>
      <c r="T17" s="43"/>
      <c r="U17" s="37">
        <v>3852131</v>
      </c>
      <c r="V17" s="38"/>
      <c r="W17" s="50">
        <f t="shared" si="2"/>
        <v>3860270</v>
      </c>
      <c r="X17" s="44"/>
      <c r="Y17" s="46">
        <f t="shared" si="3"/>
        <v>0.0345158612257691</v>
      </c>
      <c r="Z17" s="42"/>
      <c r="AA17" s="6"/>
      <c r="AC17" s="22"/>
    </row>
    <row r="18" spans="1:29" ht="12" customHeight="1">
      <c r="A18" s="967">
        <v>2005</v>
      </c>
      <c r="B18" s="968"/>
      <c r="C18" s="37">
        <f t="shared" si="0"/>
        <v>3977100</v>
      </c>
      <c r="D18" s="38"/>
      <c r="E18" s="39">
        <v>36</v>
      </c>
      <c r="F18" s="40"/>
      <c r="G18" s="41">
        <v>36</v>
      </c>
      <c r="H18" s="40"/>
      <c r="I18" s="41">
        <v>172</v>
      </c>
      <c r="J18" s="40"/>
      <c r="K18" s="41"/>
      <c r="L18" s="49"/>
      <c r="M18" s="39">
        <f t="shared" si="4"/>
        <v>244</v>
      </c>
      <c r="N18" s="42"/>
      <c r="O18" s="49"/>
      <c r="P18" s="49"/>
      <c r="Q18" s="39">
        <v>18</v>
      </c>
      <c r="R18" s="40"/>
      <c r="S18" s="37">
        <v>8727</v>
      </c>
      <c r="T18" s="43"/>
      <c r="U18" s="37">
        <v>3968111</v>
      </c>
      <c r="V18" s="38"/>
      <c r="W18" s="50">
        <f t="shared" si="2"/>
        <v>3976856</v>
      </c>
      <c r="X18" s="44"/>
      <c r="Y18" s="46">
        <f t="shared" si="3"/>
        <v>0.02931407306831611</v>
      </c>
      <c r="Z18" s="42"/>
      <c r="AA18" s="6"/>
      <c r="AC18" s="22"/>
    </row>
    <row r="19" spans="1:29" ht="12" customHeight="1">
      <c r="A19" s="967">
        <v>2006</v>
      </c>
      <c r="B19" s="968"/>
      <c r="C19" s="37">
        <f t="shared" si="0"/>
        <v>4165274</v>
      </c>
      <c r="D19" s="38"/>
      <c r="E19" s="39">
        <v>38</v>
      </c>
      <c r="F19" s="40"/>
      <c r="G19" s="41">
        <v>36</v>
      </c>
      <c r="H19" s="40"/>
      <c r="I19" s="41">
        <v>163</v>
      </c>
      <c r="J19" s="40"/>
      <c r="K19" s="41"/>
      <c r="L19" s="49"/>
      <c r="M19" s="39">
        <f t="shared" si="4"/>
        <v>237</v>
      </c>
      <c r="N19" s="42"/>
      <c r="O19" s="49"/>
      <c r="P19" s="49"/>
      <c r="Q19" s="39">
        <v>22</v>
      </c>
      <c r="R19" s="40"/>
      <c r="S19" s="37">
        <v>9454</v>
      </c>
      <c r="T19" s="43"/>
      <c r="U19" s="37">
        <v>4155561</v>
      </c>
      <c r="V19" s="43"/>
      <c r="W19" s="50">
        <f t="shared" si="2"/>
        <v>4165037</v>
      </c>
      <c r="X19" s="44"/>
      <c r="Y19" s="46">
        <f t="shared" si="3"/>
        <v>0.04517685991365754</v>
      </c>
      <c r="Z19" s="42"/>
      <c r="AA19" s="6"/>
      <c r="AC19" s="22"/>
    </row>
    <row r="20" spans="1:29" ht="12" customHeight="1">
      <c r="A20" s="967">
        <v>2007</v>
      </c>
      <c r="B20" s="968"/>
      <c r="C20" s="37">
        <f t="shared" si="0"/>
        <v>4359862</v>
      </c>
      <c r="D20" s="38"/>
      <c r="E20" s="39">
        <v>43</v>
      </c>
      <c r="F20" s="40"/>
      <c r="G20" s="41">
        <v>34</v>
      </c>
      <c r="H20" s="40"/>
      <c r="I20" s="41">
        <v>173</v>
      </c>
      <c r="J20" s="40"/>
      <c r="K20" s="41"/>
      <c r="L20" s="49"/>
      <c r="M20" s="39">
        <f t="shared" si="4"/>
        <v>250</v>
      </c>
      <c r="N20" s="42"/>
      <c r="O20" s="49"/>
      <c r="P20" s="49"/>
      <c r="Q20" s="39">
        <v>25</v>
      </c>
      <c r="R20" s="40"/>
      <c r="S20" s="37">
        <v>10314</v>
      </c>
      <c r="T20" s="43"/>
      <c r="U20" s="37">
        <v>4349273</v>
      </c>
      <c r="V20" s="43"/>
      <c r="W20" s="50">
        <f t="shared" si="2"/>
        <v>4359612</v>
      </c>
      <c r="X20" s="44"/>
      <c r="Y20" s="46">
        <f t="shared" si="3"/>
        <v>0.04463168788369907</v>
      </c>
      <c r="Z20" s="42"/>
      <c r="AA20" s="6"/>
      <c r="AC20" s="22"/>
    </row>
    <row r="21" spans="1:29" ht="12" customHeight="1">
      <c r="A21" s="967">
        <v>2008</v>
      </c>
      <c r="B21" s="968"/>
      <c r="C21" s="37">
        <f t="shared" si="0"/>
        <v>4624792</v>
      </c>
      <c r="D21" s="38"/>
      <c r="E21" s="39">
        <v>44</v>
      </c>
      <c r="F21" s="221"/>
      <c r="G21" s="41">
        <v>34</v>
      </c>
      <c r="H21" s="40"/>
      <c r="I21" s="41">
        <v>180</v>
      </c>
      <c r="J21" s="40"/>
      <c r="K21" s="41"/>
      <c r="L21" s="49"/>
      <c r="M21" s="39">
        <f t="shared" si="4"/>
        <v>258</v>
      </c>
      <c r="N21" s="144"/>
      <c r="O21" s="221"/>
      <c r="P21" s="221"/>
      <c r="Q21" s="39">
        <v>24</v>
      </c>
      <c r="R21" s="40"/>
      <c r="S21" s="37">
        <v>11422</v>
      </c>
      <c r="T21" s="43"/>
      <c r="U21" s="37">
        <v>4613088</v>
      </c>
      <c r="V21" s="43"/>
      <c r="W21" s="50">
        <f t="shared" si="2"/>
        <v>4624534</v>
      </c>
      <c r="X21" s="44"/>
      <c r="Y21" s="46">
        <f t="shared" si="3"/>
        <v>0.05728473842715521</v>
      </c>
      <c r="Z21" s="42"/>
      <c r="AA21" s="6"/>
      <c r="AC21" s="22"/>
    </row>
    <row r="22" spans="1:29" ht="12" customHeight="1">
      <c r="A22" s="967">
        <v>2009</v>
      </c>
      <c r="B22" s="968"/>
      <c r="C22" s="37">
        <f t="shared" si="0"/>
        <v>4878964</v>
      </c>
      <c r="D22" s="38"/>
      <c r="E22" s="39">
        <v>42</v>
      </c>
      <c r="F22" s="241"/>
      <c r="G22" s="41">
        <v>40</v>
      </c>
      <c r="H22" s="40"/>
      <c r="I22" s="41">
        <v>187</v>
      </c>
      <c r="J22" s="40"/>
      <c r="K22" s="41"/>
      <c r="L22" s="49"/>
      <c r="M22" s="39">
        <f t="shared" si="4"/>
        <v>269</v>
      </c>
      <c r="N22" s="242"/>
      <c r="O22" s="272"/>
      <c r="P22" s="272"/>
      <c r="Q22" s="39">
        <v>22</v>
      </c>
      <c r="R22" s="40"/>
      <c r="S22" s="37">
        <v>12368</v>
      </c>
      <c r="T22" s="43"/>
      <c r="U22" s="37">
        <v>4866305</v>
      </c>
      <c r="V22" s="43"/>
      <c r="W22" s="50">
        <f t="shared" si="2"/>
        <v>4878695</v>
      </c>
      <c r="X22" s="44"/>
      <c r="Y22" s="46">
        <f t="shared" si="3"/>
        <v>0.05209548584494577</v>
      </c>
      <c r="Z22" s="42"/>
      <c r="AA22" s="6"/>
      <c r="AC22" s="22"/>
    </row>
    <row r="23" spans="1:29" ht="12" customHeight="1">
      <c r="A23" s="967">
        <v>2010</v>
      </c>
      <c r="B23" s="968"/>
      <c r="C23" s="37">
        <f t="shared" si="0"/>
        <v>5170896</v>
      </c>
      <c r="D23" s="244"/>
      <c r="E23" s="268">
        <v>48</v>
      </c>
      <c r="F23" s="241"/>
      <c r="G23" s="269">
        <v>39</v>
      </c>
      <c r="H23" s="270"/>
      <c r="I23" s="269">
        <v>171</v>
      </c>
      <c r="J23" s="270"/>
      <c r="K23" s="269"/>
      <c r="L23" s="271"/>
      <c r="M23" s="39">
        <f t="shared" si="4"/>
        <v>258</v>
      </c>
      <c r="N23" s="272"/>
      <c r="O23" s="268"/>
      <c r="P23" s="272"/>
      <c r="Q23" s="268">
        <v>23</v>
      </c>
      <c r="R23" s="270"/>
      <c r="S23" s="273">
        <v>13331</v>
      </c>
      <c r="T23" s="274"/>
      <c r="U23" s="273">
        <v>5157284</v>
      </c>
      <c r="V23" s="274"/>
      <c r="W23" s="50">
        <f t="shared" si="2"/>
        <v>5170638</v>
      </c>
      <c r="X23" s="275"/>
      <c r="Y23" s="46">
        <f t="shared" si="3"/>
        <v>0.05645675333636569</v>
      </c>
      <c r="Z23" s="250"/>
      <c r="AA23" s="6"/>
      <c r="AC23" s="22"/>
    </row>
    <row r="24" spans="1:29" ht="12" customHeight="1">
      <c r="A24" s="967">
        <v>2011</v>
      </c>
      <c r="B24" s="968"/>
      <c r="C24" s="37">
        <f t="shared" si="0"/>
        <v>5495222</v>
      </c>
      <c r="D24" s="38"/>
      <c r="E24" s="39">
        <v>48</v>
      </c>
      <c r="F24" s="221"/>
      <c r="G24" s="41">
        <v>45</v>
      </c>
      <c r="H24" s="40"/>
      <c r="I24" s="41">
        <v>168</v>
      </c>
      <c r="J24" s="40"/>
      <c r="K24" s="41"/>
      <c r="L24" s="49"/>
      <c r="M24" s="39">
        <f t="shared" si="4"/>
        <v>261</v>
      </c>
      <c r="N24" s="144"/>
      <c r="O24" s="221">
        <v>1</v>
      </c>
      <c r="P24" s="221"/>
      <c r="Q24" s="39">
        <v>24</v>
      </c>
      <c r="R24" s="40"/>
      <c r="S24" s="37">
        <v>14409</v>
      </c>
      <c r="T24" s="43"/>
      <c r="U24" s="37">
        <v>5480527</v>
      </c>
      <c r="V24" s="43"/>
      <c r="W24" s="50">
        <f>SUM(Q24,S24,U24,O24)</f>
        <v>5494961</v>
      </c>
      <c r="X24" s="44"/>
      <c r="Y24" s="46">
        <f t="shared" si="3"/>
        <v>0.05901963560343877</v>
      </c>
      <c r="Z24" s="250"/>
      <c r="AA24" s="202"/>
      <c r="AC24" s="22"/>
    </row>
    <row r="25" spans="1:29" ht="12" customHeight="1">
      <c r="A25" s="967">
        <v>2012</v>
      </c>
      <c r="B25" s="968"/>
      <c r="C25" s="37">
        <f t="shared" si="0"/>
        <v>5824944.5</v>
      </c>
      <c r="D25" s="244"/>
      <c r="E25" s="268">
        <v>52</v>
      </c>
      <c r="F25" s="241"/>
      <c r="G25" s="269">
        <v>46</v>
      </c>
      <c r="H25" s="270"/>
      <c r="I25" s="269">
        <v>164</v>
      </c>
      <c r="J25" s="270"/>
      <c r="K25" s="269"/>
      <c r="L25" s="271"/>
      <c r="M25" s="39">
        <f t="shared" si="4"/>
        <v>262</v>
      </c>
      <c r="N25" s="272"/>
      <c r="O25" s="268">
        <v>1</v>
      </c>
      <c r="P25" s="272"/>
      <c r="Q25" s="268">
        <v>19</v>
      </c>
      <c r="R25" s="270"/>
      <c r="S25" s="273">
        <v>17408</v>
      </c>
      <c r="T25" s="274"/>
      <c r="U25" s="273">
        <v>5807254.5</v>
      </c>
      <c r="V25" s="274"/>
      <c r="W25" s="50">
        <f>SUM(Q25,S25,U25,O25)</f>
        <v>5824682.5</v>
      </c>
      <c r="X25" s="275"/>
      <c r="Y25" s="46">
        <f t="shared" si="3"/>
        <v>0.05660526035913303</v>
      </c>
      <c r="Z25" s="250"/>
      <c r="AA25" s="31"/>
      <c r="AC25" s="22"/>
    </row>
    <row r="26" spans="1:29" ht="12" customHeight="1" thickBot="1">
      <c r="A26" s="961"/>
      <c r="B26" s="962"/>
      <c r="C26" s="254"/>
      <c r="D26" s="825"/>
      <c r="E26" s="247"/>
      <c r="F26" s="99"/>
      <c r="G26" s="245"/>
      <c r="H26" s="253"/>
      <c r="I26" s="245"/>
      <c r="J26" s="253"/>
      <c r="K26" s="245"/>
      <c r="L26" s="246"/>
      <c r="M26" s="247"/>
      <c r="N26" s="100"/>
      <c r="O26" s="247"/>
      <c r="P26" s="100"/>
      <c r="Q26" s="247"/>
      <c r="R26" s="253"/>
      <c r="S26" s="254"/>
      <c r="T26" s="255"/>
      <c r="U26" s="254"/>
      <c r="V26" s="255"/>
      <c r="W26" s="256"/>
      <c r="X26" s="248"/>
      <c r="Y26" s="249"/>
      <c r="Z26" s="826"/>
      <c r="AA26" s="31"/>
      <c r="AC26" s="22"/>
    </row>
    <row r="27" spans="1:27" ht="12.75">
      <c r="A27" s="963" t="s">
        <v>121</v>
      </c>
      <c r="B27" s="964"/>
      <c r="C27" s="215">
        <f>(C25/C24)-1</f>
        <v>0.06000167054215466</v>
      </c>
      <c r="D27" s="208"/>
      <c r="E27" s="251"/>
      <c r="F27" s="252"/>
      <c r="G27" s="251"/>
      <c r="H27" s="182"/>
      <c r="I27" s="251"/>
      <c r="J27" s="182"/>
      <c r="K27" s="182"/>
      <c r="L27" s="182"/>
      <c r="M27" s="215">
        <f>(M25/M24)-1</f>
        <v>0.003831417624521105</v>
      </c>
      <c r="N27" s="208"/>
      <c r="O27" s="196"/>
      <c r="P27" s="824"/>
      <c r="Q27" s="251"/>
      <c r="R27" s="182"/>
      <c r="S27" s="251"/>
      <c r="T27" s="182"/>
      <c r="U27" s="251"/>
      <c r="V27" s="182"/>
      <c r="W27" s="215">
        <f>(W25/W24)-1</f>
        <v>0.06000433852032794</v>
      </c>
      <c r="X27" s="208"/>
      <c r="Y27" s="51"/>
      <c r="Z27" s="221"/>
      <c r="AA27" s="6"/>
    </row>
    <row r="28" spans="1:27" ht="12.75">
      <c r="A28" s="206" t="s">
        <v>117</v>
      </c>
      <c r="B28" s="207"/>
      <c r="C28" s="215">
        <f>+(C25/C20)^(1/5)-1</f>
        <v>0.059653336085084385</v>
      </c>
      <c r="D28" s="209"/>
      <c r="E28" s="197"/>
      <c r="F28" s="196"/>
      <c r="G28" s="196"/>
      <c r="H28" s="196"/>
      <c r="I28" s="196"/>
      <c r="J28" s="196"/>
      <c r="K28" s="196"/>
      <c r="L28" s="196"/>
      <c r="M28" s="216">
        <f>+(M25/M20)^(1/5)-1</f>
        <v>0.009420816319588132</v>
      </c>
      <c r="N28" s="208"/>
      <c r="O28" s="196"/>
      <c r="P28" s="196"/>
      <c r="Q28" s="196"/>
      <c r="R28" s="196"/>
      <c r="S28" s="196"/>
      <c r="T28" s="196"/>
      <c r="U28" s="196"/>
      <c r="V28" s="196"/>
      <c r="W28" s="216">
        <f>+(W25/W20)^(1/5)-1</f>
        <v>0.05965595617182551</v>
      </c>
      <c r="X28" s="208"/>
      <c r="Y28" s="51"/>
      <c r="Z28" s="51"/>
      <c r="AA28" s="6"/>
    </row>
    <row r="29" spans="1:27" ht="12.75">
      <c r="A29" s="969" t="s">
        <v>120</v>
      </c>
      <c r="B29" s="970"/>
      <c r="C29" s="198">
        <f>+(C25/C13)^(1/12)-1</f>
        <v>0.047120652528915175</v>
      </c>
      <c r="D29" s="208"/>
      <c r="E29" s="182"/>
      <c r="F29" s="182"/>
      <c r="G29" s="182"/>
      <c r="H29" s="182"/>
      <c r="I29" s="182"/>
      <c r="J29" s="182"/>
      <c r="K29" s="182"/>
      <c r="L29" s="182"/>
      <c r="M29" s="198">
        <f>+(M25/M13)^(1/12)-1</f>
        <v>0.011281705503658035</v>
      </c>
      <c r="N29" s="208"/>
      <c r="O29" s="196"/>
      <c r="P29" s="196"/>
      <c r="Q29" s="182"/>
      <c r="R29" s="182"/>
      <c r="S29" s="182"/>
      <c r="T29" s="182"/>
      <c r="U29" s="182"/>
      <c r="V29" s="182"/>
      <c r="W29" s="198">
        <f>+(W25/W13)^(1/12)-1</f>
        <v>0.04712268878925441</v>
      </c>
      <c r="X29" s="210"/>
      <c r="Y29" s="51"/>
      <c r="Z29" s="51"/>
      <c r="AA29" s="6"/>
    </row>
    <row r="30" spans="1:27" ht="13.5" thickBot="1">
      <c r="A30" s="965" t="s">
        <v>111</v>
      </c>
      <c r="B30" s="966"/>
      <c r="C30" s="834">
        <f>+C24/C13-1</f>
        <v>0.6392838274701846</v>
      </c>
      <c r="D30" s="212"/>
      <c r="E30" s="183"/>
      <c r="F30" s="183"/>
      <c r="G30" s="183"/>
      <c r="H30" s="183"/>
      <c r="I30" s="183"/>
      <c r="J30" s="183"/>
      <c r="K30" s="183"/>
      <c r="L30" s="183"/>
      <c r="M30" s="211">
        <f>+M24/M13-1</f>
        <v>0.13973799126637565</v>
      </c>
      <c r="N30" s="212"/>
      <c r="O30" s="239"/>
      <c r="P30" s="239"/>
      <c r="Q30" s="183"/>
      <c r="R30" s="183"/>
      <c r="S30" s="183"/>
      <c r="T30" s="183"/>
      <c r="U30" s="183"/>
      <c r="V30" s="183"/>
      <c r="W30" s="211">
        <f>+W24/W13-1</f>
        <v>0.6393179553577288</v>
      </c>
      <c r="X30" s="212"/>
      <c r="Y30" s="51"/>
      <c r="Z30" s="51"/>
      <c r="AA30" s="6"/>
    </row>
    <row r="31" spans="1:2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45" t="s">
        <v>63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4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9" spans="29:40" ht="12.75">
      <c r="AC39" s="158"/>
      <c r="AD39" s="3" t="s">
        <v>21</v>
      </c>
      <c r="AE39" s="3" t="s">
        <v>22</v>
      </c>
      <c r="AF39" s="3" t="s">
        <v>23</v>
      </c>
      <c r="AG39" s="3" t="s">
        <v>24</v>
      </c>
      <c r="AH39" s="3" t="s">
        <v>38</v>
      </c>
      <c r="AI39" s="278"/>
      <c r="AJ39" s="3" t="s">
        <v>21</v>
      </c>
      <c r="AK39" s="3" t="s">
        <v>22</v>
      </c>
      <c r="AL39" s="3" t="s">
        <v>23</v>
      </c>
      <c r="AM39" s="3" t="s">
        <v>24</v>
      </c>
      <c r="AN39" s="3" t="s">
        <v>39</v>
      </c>
    </row>
    <row r="40" spans="29:40" ht="12.75">
      <c r="AC40" s="179">
        <v>1998</v>
      </c>
      <c r="AD40" s="180">
        <f aca="true" t="shared" si="5" ref="AD40:AD54">E11</f>
        <v>17</v>
      </c>
      <c r="AE40" s="180">
        <f aca="true" t="shared" si="6" ref="AE40:AE54">G11</f>
        <v>37</v>
      </c>
      <c r="AF40" s="180">
        <f aca="true" t="shared" si="7" ref="AF40:AF54">I11</f>
        <v>163</v>
      </c>
      <c r="AG40" s="180">
        <f>K11</f>
        <v>1</v>
      </c>
      <c r="AH40" s="180">
        <f>SUM(AD40:AG40)</f>
        <v>218</v>
      </c>
      <c r="AI40" s="279"/>
      <c r="AJ40" s="180"/>
      <c r="AK40" s="180">
        <f aca="true" t="shared" si="8" ref="AK40:AK54">Q11</f>
        <v>13</v>
      </c>
      <c r="AL40" s="180">
        <f aca="true" t="shared" si="9" ref="AL40:AL54">S11</f>
        <v>5372</v>
      </c>
      <c r="AM40" s="180">
        <f aca="true" t="shared" si="10" ref="AM40:AM54">U11</f>
        <v>3051717</v>
      </c>
      <c r="AN40" s="180">
        <f>SUM(AK40:AM40)</f>
        <v>3057102</v>
      </c>
    </row>
    <row r="41" spans="29:40" ht="12.75">
      <c r="AC41" s="179">
        <v>1999</v>
      </c>
      <c r="AD41" s="180">
        <f t="shared" si="5"/>
        <v>13</v>
      </c>
      <c r="AE41" s="180">
        <f t="shared" si="6"/>
        <v>41</v>
      </c>
      <c r="AF41" s="180">
        <f t="shared" si="7"/>
        <v>168</v>
      </c>
      <c r="AG41" s="180">
        <f>K12</f>
        <v>1</v>
      </c>
      <c r="AH41" s="180">
        <f aca="true" t="shared" si="11" ref="AH41:AH48">SUM(AD41:AG41)</f>
        <v>223</v>
      </c>
      <c r="AI41" s="279"/>
      <c r="AJ41" s="180"/>
      <c r="AK41" s="180">
        <f t="shared" si="8"/>
        <v>20</v>
      </c>
      <c r="AL41" s="180">
        <f t="shared" si="9"/>
        <v>5774</v>
      </c>
      <c r="AM41" s="180">
        <f t="shared" si="10"/>
        <v>3211041</v>
      </c>
      <c r="AN41" s="180">
        <f aca="true" t="shared" si="12" ref="AN41:AN48">SUM(AK41:AM41)</f>
        <v>3216835</v>
      </c>
    </row>
    <row r="42" spans="29:40" ht="12.75">
      <c r="AC42" s="179">
        <v>2000</v>
      </c>
      <c r="AD42" s="180">
        <f t="shared" si="5"/>
        <v>15</v>
      </c>
      <c r="AE42" s="180">
        <f t="shared" si="6"/>
        <v>40</v>
      </c>
      <c r="AF42" s="180">
        <f t="shared" si="7"/>
        <v>174</v>
      </c>
      <c r="AG42" s="176"/>
      <c r="AH42" s="180">
        <f t="shared" si="11"/>
        <v>229</v>
      </c>
      <c r="AI42" s="279"/>
      <c r="AJ42" s="180"/>
      <c r="AK42" s="180">
        <f t="shared" si="8"/>
        <v>9</v>
      </c>
      <c r="AL42" s="180">
        <f t="shared" si="9"/>
        <v>6259</v>
      </c>
      <c r="AM42" s="180">
        <f t="shared" si="10"/>
        <v>3345712</v>
      </c>
      <c r="AN42" s="180">
        <f t="shared" si="12"/>
        <v>3351980</v>
      </c>
    </row>
    <row r="43" spans="29:40" ht="12.75">
      <c r="AC43" s="179">
        <v>2001</v>
      </c>
      <c r="AD43" s="180">
        <f t="shared" si="5"/>
        <v>23</v>
      </c>
      <c r="AE43" s="180">
        <f t="shared" si="6"/>
        <v>38</v>
      </c>
      <c r="AF43" s="180">
        <f t="shared" si="7"/>
        <v>180</v>
      </c>
      <c r="AG43" s="176"/>
      <c r="AH43" s="180">
        <f t="shared" si="11"/>
        <v>241</v>
      </c>
      <c r="AI43" s="279"/>
      <c r="AJ43" s="180"/>
      <c r="AK43" s="180">
        <f t="shared" si="8"/>
        <v>9</v>
      </c>
      <c r="AL43" s="180">
        <f t="shared" si="9"/>
        <v>6752</v>
      </c>
      <c r="AM43" s="180">
        <f t="shared" si="10"/>
        <v>3455849</v>
      </c>
      <c r="AN43" s="180">
        <f t="shared" si="12"/>
        <v>3462610</v>
      </c>
    </row>
    <row r="44" spans="29:40" ht="12.75">
      <c r="AC44" s="181">
        <v>2002</v>
      </c>
      <c r="AD44" s="180">
        <f t="shared" si="5"/>
        <v>32</v>
      </c>
      <c r="AE44" s="180">
        <f t="shared" si="6"/>
        <v>41</v>
      </c>
      <c r="AF44" s="180">
        <f t="shared" si="7"/>
        <v>188</v>
      </c>
      <c r="AG44" s="176"/>
      <c r="AH44" s="180">
        <f t="shared" si="11"/>
        <v>261</v>
      </c>
      <c r="AI44" s="279"/>
      <c r="AJ44" s="180"/>
      <c r="AK44" s="180">
        <f t="shared" si="8"/>
        <v>11</v>
      </c>
      <c r="AL44" s="180">
        <f t="shared" si="9"/>
        <v>7166</v>
      </c>
      <c r="AM44" s="180">
        <f t="shared" si="10"/>
        <v>3607046</v>
      </c>
      <c r="AN44" s="180">
        <f t="shared" si="12"/>
        <v>3614223</v>
      </c>
    </row>
    <row r="45" spans="29:40" ht="12.75">
      <c r="AC45" s="181">
        <v>2003</v>
      </c>
      <c r="AD45" s="180">
        <f t="shared" si="5"/>
        <v>37</v>
      </c>
      <c r="AE45" s="180">
        <f t="shared" si="6"/>
        <v>35</v>
      </c>
      <c r="AF45" s="180">
        <f t="shared" si="7"/>
        <v>175</v>
      </c>
      <c r="AG45" s="176"/>
      <c r="AH45" s="180">
        <f t="shared" si="11"/>
        <v>247</v>
      </c>
      <c r="AI45" s="279"/>
      <c r="AJ45" s="180"/>
      <c r="AK45" s="180">
        <f t="shared" si="8"/>
        <v>12</v>
      </c>
      <c r="AL45" s="180">
        <f t="shared" si="9"/>
        <v>7598</v>
      </c>
      <c r="AM45" s="180">
        <f t="shared" si="10"/>
        <v>3719409</v>
      </c>
      <c r="AN45" s="180">
        <f t="shared" si="12"/>
        <v>3727019</v>
      </c>
    </row>
    <row r="46" spans="29:40" ht="12.75">
      <c r="AC46" s="181">
        <v>2004</v>
      </c>
      <c r="AD46" s="180">
        <f t="shared" si="5"/>
        <v>37</v>
      </c>
      <c r="AE46" s="180">
        <f t="shared" si="6"/>
        <v>33</v>
      </c>
      <c r="AF46" s="180">
        <f t="shared" si="7"/>
        <v>175</v>
      </c>
      <c r="AG46" s="176"/>
      <c r="AH46" s="180">
        <f t="shared" si="11"/>
        <v>245</v>
      </c>
      <c r="AI46" s="279"/>
      <c r="AJ46" s="180"/>
      <c r="AK46" s="180">
        <f t="shared" si="8"/>
        <v>19</v>
      </c>
      <c r="AL46" s="180">
        <f t="shared" si="9"/>
        <v>8120</v>
      </c>
      <c r="AM46" s="180">
        <f t="shared" si="10"/>
        <v>3852131</v>
      </c>
      <c r="AN46" s="180">
        <f t="shared" si="12"/>
        <v>3860270</v>
      </c>
    </row>
    <row r="47" spans="29:40" ht="12.75">
      <c r="AC47" s="181">
        <v>2005</v>
      </c>
      <c r="AD47" s="180">
        <f t="shared" si="5"/>
        <v>36</v>
      </c>
      <c r="AE47" s="180">
        <f t="shared" si="6"/>
        <v>36</v>
      </c>
      <c r="AF47" s="180">
        <f t="shared" si="7"/>
        <v>172</v>
      </c>
      <c r="AG47" s="176"/>
      <c r="AH47" s="180">
        <f t="shared" si="11"/>
        <v>244</v>
      </c>
      <c r="AI47" s="279"/>
      <c r="AJ47" s="180"/>
      <c r="AK47" s="180">
        <f t="shared" si="8"/>
        <v>18</v>
      </c>
      <c r="AL47" s="180">
        <f t="shared" si="9"/>
        <v>8727</v>
      </c>
      <c r="AM47" s="180">
        <f t="shared" si="10"/>
        <v>3968111</v>
      </c>
      <c r="AN47" s="180">
        <f t="shared" si="12"/>
        <v>3976856</v>
      </c>
    </row>
    <row r="48" spans="29:40" ht="12.75">
      <c r="AC48" s="181">
        <v>2006</v>
      </c>
      <c r="AD48" s="180">
        <f t="shared" si="5"/>
        <v>38</v>
      </c>
      <c r="AE48" s="180">
        <f t="shared" si="6"/>
        <v>36</v>
      </c>
      <c r="AF48" s="180">
        <f t="shared" si="7"/>
        <v>163</v>
      </c>
      <c r="AG48" s="176"/>
      <c r="AH48" s="180">
        <f t="shared" si="11"/>
        <v>237</v>
      </c>
      <c r="AI48" s="279"/>
      <c r="AJ48" s="180"/>
      <c r="AK48" s="180">
        <f t="shared" si="8"/>
        <v>22</v>
      </c>
      <c r="AL48" s="180">
        <f t="shared" si="9"/>
        <v>9454</v>
      </c>
      <c r="AM48" s="180">
        <f t="shared" si="10"/>
        <v>4155561</v>
      </c>
      <c r="AN48" s="180">
        <f t="shared" si="12"/>
        <v>4165037</v>
      </c>
    </row>
    <row r="49" spans="29:40" ht="12.75">
      <c r="AC49" s="181">
        <v>2007</v>
      </c>
      <c r="AD49" s="180">
        <f t="shared" si="5"/>
        <v>43</v>
      </c>
      <c r="AE49" s="180">
        <f t="shared" si="6"/>
        <v>34</v>
      </c>
      <c r="AF49" s="180">
        <f t="shared" si="7"/>
        <v>173</v>
      </c>
      <c r="AG49" s="176"/>
      <c r="AH49" s="180">
        <f aca="true" t="shared" si="13" ref="AH49:AH54">SUM(AD49:AG49)</f>
        <v>250</v>
      </c>
      <c r="AI49" s="279"/>
      <c r="AJ49" s="180"/>
      <c r="AK49" s="180">
        <f t="shared" si="8"/>
        <v>25</v>
      </c>
      <c r="AL49" s="180">
        <f t="shared" si="9"/>
        <v>10314</v>
      </c>
      <c r="AM49" s="180">
        <f t="shared" si="10"/>
        <v>4349273</v>
      </c>
      <c r="AN49" s="180">
        <f>SUM(AK49:AM49)</f>
        <v>4359612</v>
      </c>
    </row>
    <row r="50" spans="29:40" ht="12.75">
      <c r="AC50" s="181">
        <v>2008</v>
      </c>
      <c r="AD50" s="180">
        <f t="shared" si="5"/>
        <v>44</v>
      </c>
      <c r="AE50" s="180">
        <f t="shared" si="6"/>
        <v>34</v>
      </c>
      <c r="AF50" s="180">
        <f t="shared" si="7"/>
        <v>180</v>
      </c>
      <c r="AG50" s="176"/>
      <c r="AH50" s="180">
        <f t="shared" si="13"/>
        <v>258</v>
      </c>
      <c r="AI50" s="279"/>
      <c r="AJ50" s="180"/>
      <c r="AK50" s="180">
        <f t="shared" si="8"/>
        <v>24</v>
      </c>
      <c r="AL50" s="180">
        <f t="shared" si="9"/>
        <v>11422</v>
      </c>
      <c r="AM50" s="180">
        <f t="shared" si="10"/>
        <v>4613088</v>
      </c>
      <c r="AN50" s="180">
        <f>SUM(AK50:AM50)</f>
        <v>4624534</v>
      </c>
    </row>
    <row r="51" spans="29:40" ht="12.75">
      <c r="AC51" s="181">
        <v>2009</v>
      </c>
      <c r="AD51" s="180">
        <f t="shared" si="5"/>
        <v>42</v>
      </c>
      <c r="AE51" s="180">
        <f t="shared" si="6"/>
        <v>40</v>
      </c>
      <c r="AF51" s="180">
        <f t="shared" si="7"/>
        <v>187</v>
      </c>
      <c r="AG51" s="176"/>
      <c r="AH51" s="180">
        <f t="shared" si="13"/>
        <v>269</v>
      </c>
      <c r="AI51" s="279"/>
      <c r="AJ51" s="180"/>
      <c r="AK51" s="180">
        <f t="shared" si="8"/>
        <v>22</v>
      </c>
      <c r="AL51" s="180">
        <f t="shared" si="9"/>
        <v>12368</v>
      </c>
      <c r="AM51" s="180">
        <f t="shared" si="10"/>
        <v>4866305</v>
      </c>
      <c r="AN51" s="180">
        <f>SUM(AK51:AM51)</f>
        <v>4878695</v>
      </c>
    </row>
    <row r="52" spans="29:40" ht="12.75">
      <c r="AC52" s="181">
        <v>2010</v>
      </c>
      <c r="AD52" s="180">
        <f t="shared" si="5"/>
        <v>48</v>
      </c>
      <c r="AE52" s="180">
        <f t="shared" si="6"/>
        <v>39</v>
      </c>
      <c r="AF52" s="180">
        <f t="shared" si="7"/>
        <v>171</v>
      </c>
      <c r="AG52" s="176"/>
      <c r="AH52" s="180">
        <f t="shared" si="13"/>
        <v>258</v>
      </c>
      <c r="AI52" s="279"/>
      <c r="AJ52" s="180"/>
      <c r="AK52" s="180">
        <f t="shared" si="8"/>
        <v>23</v>
      </c>
      <c r="AL52" s="180">
        <f t="shared" si="9"/>
        <v>13331</v>
      </c>
      <c r="AM52" s="180">
        <f t="shared" si="10"/>
        <v>5157284</v>
      </c>
      <c r="AN52" s="180">
        <f>SUM(AK52:AM52)</f>
        <v>5170638</v>
      </c>
    </row>
    <row r="53" spans="29:40" ht="12.75">
      <c r="AC53" s="181">
        <v>2011</v>
      </c>
      <c r="AD53" s="180">
        <f t="shared" si="5"/>
        <v>48</v>
      </c>
      <c r="AE53" s="180">
        <f t="shared" si="6"/>
        <v>45</v>
      </c>
      <c r="AF53" s="180">
        <f t="shared" si="7"/>
        <v>168</v>
      </c>
      <c r="AG53" s="176"/>
      <c r="AH53" s="180">
        <f t="shared" si="13"/>
        <v>261</v>
      </c>
      <c r="AI53" s="279"/>
      <c r="AJ53" s="180">
        <v>1</v>
      </c>
      <c r="AK53" s="180">
        <f t="shared" si="8"/>
        <v>24</v>
      </c>
      <c r="AL53" s="180">
        <f t="shared" si="9"/>
        <v>14409</v>
      </c>
      <c r="AM53" s="180">
        <f t="shared" si="10"/>
        <v>5480527</v>
      </c>
      <c r="AN53" s="180">
        <f>SUM(AJ53:AM53)</f>
        <v>5494961</v>
      </c>
    </row>
    <row r="54" spans="29:40" ht="12.75">
      <c r="AC54" s="181">
        <v>2012</v>
      </c>
      <c r="AD54" s="180">
        <f t="shared" si="5"/>
        <v>52</v>
      </c>
      <c r="AE54" s="180">
        <f t="shared" si="6"/>
        <v>46</v>
      </c>
      <c r="AF54" s="180">
        <f t="shared" si="7"/>
        <v>164</v>
      </c>
      <c r="AG54" s="176"/>
      <c r="AH54" s="180">
        <f t="shared" si="13"/>
        <v>262</v>
      </c>
      <c r="AJ54" s="180"/>
      <c r="AK54" s="180">
        <f t="shared" si="8"/>
        <v>19</v>
      </c>
      <c r="AL54" s="180">
        <f t="shared" si="9"/>
        <v>17408</v>
      </c>
      <c r="AM54" s="180">
        <f t="shared" si="10"/>
        <v>5807254.5</v>
      </c>
      <c r="AN54" s="180">
        <f>SUM(AJ54:AM54)</f>
        <v>5824681.5</v>
      </c>
    </row>
  </sheetData>
  <sheetProtection/>
  <mergeCells count="30">
    <mergeCell ref="A25:B25"/>
    <mergeCell ref="A24:B24"/>
    <mergeCell ref="A21:B21"/>
    <mergeCell ref="A16:B16"/>
    <mergeCell ref="A12:B12"/>
    <mergeCell ref="A13:B13"/>
    <mergeCell ref="A14:B14"/>
    <mergeCell ref="A15:B15"/>
    <mergeCell ref="A20:B20"/>
    <mergeCell ref="A23:B23"/>
    <mergeCell ref="A10:B10"/>
    <mergeCell ref="A6:B7"/>
    <mergeCell ref="A9:B9"/>
    <mergeCell ref="Y6:Z6"/>
    <mergeCell ref="Y7:Z7"/>
    <mergeCell ref="C6:D6"/>
    <mergeCell ref="C7:D7"/>
    <mergeCell ref="W6:W7"/>
    <mergeCell ref="M6:N7"/>
    <mergeCell ref="E6:K6"/>
    <mergeCell ref="A26:B26"/>
    <mergeCell ref="A27:B27"/>
    <mergeCell ref="A30:B30"/>
    <mergeCell ref="A8:B8"/>
    <mergeCell ref="A29:B29"/>
    <mergeCell ref="A17:B17"/>
    <mergeCell ref="A18:B18"/>
    <mergeCell ref="A19:B19"/>
    <mergeCell ref="A22:B22"/>
    <mergeCell ref="A11:B11"/>
  </mergeCells>
  <printOptions/>
  <pageMargins left="0.94" right="0.18" top="0.78" bottom="1" header="0" footer="0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94"/>
  <sheetViews>
    <sheetView view="pageBreakPreview" zoomScaleSheetLayoutView="100" zoomScalePageLayoutView="0" workbookViewId="0" topLeftCell="A4">
      <selection activeCell="D45" sqref="D45"/>
    </sheetView>
  </sheetViews>
  <sheetFormatPr defaultColWidth="11.421875" defaultRowHeight="12.75"/>
  <cols>
    <col min="1" max="1" width="15.7109375" style="283" customWidth="1"/>
    <col min="2" max="2" width="11.140625" style="283" customWidth="1"/>
    <col min="3" max="3" width="12.57421875" style="283" bestFit="1" customWidth="1"/>
    <col min="4" max="5" width="13.421875" style="283" bestFit="1" customWidth="1"/>
    <col min="6" max="10" width="11.421875" style="283" customWidth="1"/>
    <col min="11" max="11" width="7.421875" style="283" customWidth="1"/>
    <col min="12" max="13" width="11.421875" style="283" customWidth="1"/>
    <col min="14" max="14" width="15.00390625" style="283" customWidth="1"/>
    <col min="15" max="16384" width="11.421875" style="283" customWidth="1"/>
  </cols>
  <sheetData>
    <row r="1" ht="12.75"/>
    <row r="2" ht="12.75"/>
    <row r="3" ht="20.25">
      <c r="A3" s="706" t="s">
        <v>97</v>
      </c>
    </row>
    <row r="4" ht="23.25">
      <c r="A4" s="707"/>
    </row>
    <row r="5" ht="24" thickBot="1">
      <c r="A5" s="707"/>
    </row>
    <row r="6" spans="1:5" ht="15">
      <c r="A6" s="986" t="s">
        <v>66</v>
      </c>
      <c r="B6" s="988" t="s">
        <v>98</v>
      </c>
      <c r="C6" s="989"/>
      <c r="D6" s="989"/>
      <c r="E6" s="990"/>
    </row>
    <row r="7" spans="1:5" ht="15">
      <c r="A7" s="987"/>
      <c r="B7" s="708" t="s">
        <v>3</v>
      </c>
      <c r="C7" s="709" t="s">
        <v>11</v>
      </c>
      <c r="D7" s="709" t="s">
        <v>99</v>
      </c>
      <c r="E7" s="710" t="s">
        <v>10</v>
      </c>
    </row>
    <row r="8" spans="1:5" ht="12.75">
      <c r="A8" s="711">
        <v>1995</v>
      </c>
      <c r="B8" s="712">
        <f aca="true" t="shared" si="0" ref="B8:B14">SUM(C8:E8)</f>
        <v>7479</v>
      </c>
      <c r="C8" s="713">
        <v>2080</v>
      </c>
      <c r="D8" s="713">
        <v>306</v>
      </c>
      <c r="E8" s="714">
        <v>5093</v>
      </c>
    </row>
    <row r="9" spans="1:5" ht="12.75">
      <c r="A9" s="711">
        <v>1996</v>
      </c>
      <c r="B9" s="715">
        <f t="shared" si="0"/>
        <v>6401</v>
      </c>
      <c r="C9" s="716">
        <v>1672</v>
      </c>
      <c r="D9" s="716">
        <v>351</v>
      </c>
      <c r="E9" s="714">
        <v>4378</v>
      </c>
    </row>
    <row r="10" spans="1:5" ht="12.75">
      <c r="A10" s="711">
        <v>1997</v>
      </c>
      <c r="B10" s="715">
        <f t="shared" si="0"/>
        <v>6140</v>
      </c>
      <c r="C10" s="716">
        <v>2006</v>
      </c>
      <c r="D10" s="716">
        <v>345</v>
      </c>
      <c r="E10" s="714">
        <v>3789</v>
      </c>
    </row>
    <row r="11" spans="1:5" ht="12.75">
      <c r="A11" s="711">
        <v>1998</v>
      </c>
      <c r="B11" s="715">
        <f t="shared" si="0"/>
        <v>6138</v>
      </c>
      <c r="C11" s="716">
        <v>1884</v>
      </c>
      <c r="D11" s="716">
        <v>419</v>
      </c>
      <c r="E11" s="714">
        <v>3835</v>
      </c>
    </row>
    <row r="12" spans="1:5" ht="12.75">
      <c r="A12" s="711">
        <v>1999</v>
      </c>
      <c r="B12" s="715">
        <f t="shared" si="0"/>
        <v>5477</v>
      </c>
      <c r="C12" s="717">
        <v>1806</v>
      </c>
      <c r="D12" s="716">
        <v>436</v>
      </c>
      <c r="E12" s="714">
        <v>3235</v>
      </c>
    </row>
    <row r="13" spans="1:5" ht="12.75">
      <c r="A13" s="711">
        <v>2000</v>
      </c>
      <c r="B13" s="715">
        <f t="shared" si="0"/>
        <v>5241</v>
      </c>
      <c r="C13" s="716">
        <v>1733</v>
      </c>
      <c r="D13" s="716">
        <v>512</v>
      </c>
      <c r="E13" s="714">
        <v>2996</v>
      </c>
    </row>
    <row r="14" spans="1:5" ht="12.75">
      <c r="A14" s="711">
        <v>2001</v>
      </c>
      <c r="B14" s="715">
        <f t="shared" si="0"/>
        <v>5274</v>
      </c>
      <c r="C14" s="716">
        <v>1708</v>
      </c>
      <c r="D14" s="716">
        <v>571</v>
      </c>
      <c r="E14" s="714">
        <v>2995</v>
      </c>
    </row>
    <row r="15" spans="1:5" ht="12.75">
      <c r="A15" s="711">
        <v>2002</v>
      </c>
      <c r="B15" s="715">
        <v>5426</v>
      </c>
      <c r="C15" s="716">
        <v>1832</v>
      </c>
      <c r="D15" s="716">
        <v>544</v>
      </c>
      <c r="E15" s="714">
        <v>3349</v>
      </c>
    </row>
    <row r="16" spans="1:5" ht="12.75">
      <c r="A16" s="718">
        <v>2003</v>
      </c>
      <c r="B16" s="715">
        <f>SUM(C16:E16)</f>
        <v>6203</v>
      </c>
      <c r="C16" s="719">
        <v>1901</v>
      </c>
      <c r="D16" s="719">
        <v>711</v>
      </c>
      <c r="E16" s="720">
        <v>3591</v>
      </c>
    </row>
    <row r="17" spans="1:5" ht="12.75">
      <c r="A17" s="718">
        <v>2004</v>
      </c>
      <c r="B17" s="715">
        <f>SUM(C17:E17)</f>
        <v>5938</v>
      </c>
      <c r="C17" s="719">
        <v>1600</v>
      </c>
      <c r="D17" s="719">
        <v>444</v>
      </c>
      <c r="E17" s="720">
        <v>3894</v>
      </c>
    </row>
    <row r="18" spans="1:5" ht="12.75">
      <c r="A18" s="718">
        <v>2005</v>
      </c>
      <c r="B18" s="715">
        <f>SUM(C18:E18)</f>
        <v>6055</v>
      </c>
      <c r="C18" s="719">
        <v>1721</v>
      </c>
      <c r="D18" s="719">
        <v>420</v>
      </c>
      <c r="E18" s="720">
        <v>3914</v>
      </c>
    </row>
    <row r="19" spans="1:5" ht="12.75">
      <c r="A19" s="718">
        <v>2006</v>
      </c>
      <c r="B19" s="715">
        <f>SUM(C19:E19)</f>
        <v>6157</v>
      </c>
      <c r="C19" s="719">
        <v>1730</v>
      </c>
      <c r="D19" s="719">
        <v>433</v>
      </c>
      <c r="E19" s="720">
        <v>3994</v>
      </c>
    </row>
    <row r="20" spans="1:5" ht="12.75">
      <c r="A20" s="718">
        <v>2007</v>
      </c>
      <c r="B20" s="715">
        <v>6347</v>
      </c>
      <c r="C20" s="719">
        <v>1939</v>
      </c>
      <c r="D20" s="719">
        <v>431</v>
      </c>
      <c r="E20" s="720">
        <v>3977</v>
      </c>
    </row>
    <row r="21" spans="1:5" ht="12.75">
      <c r="A21" s="718">
        <v>2008</v>
      </c>
      <c r="B21" s="715">
        <f>SUM(C21:E21)</f>
        <v>6427</v>
      </c>
      <c r="C21" s="719">
        <v>1943</v>
      </c>
      <c r="D21" s="719">
        <v>456</v>
      </c>
      <c r="E21" s="720">
        <v>4028</v>
      </c>
    </row>
    <row r="22" spans="1:5" ht="12.75">
      <c r="A22" s="718">
        <v>2009</v>
      </c>
      <c r="B22" s="715">
        <f>SUM(C22:E22)</f>
        <v>6758</v>
      </c>
      <c r="C22" s="719">
        <v>2156</v>
      </c>
      <c r="D22" s="719">
        <v>469</v>
      </c>
      <c r="E22" s="720">
        <v>4133</v>
      </c>
    </row>
    <row r="23" spans="1:5" ht="12.75" customHeight="1">
      <c r="A23" s="718">
        <v>2010</v>
      </c>
      <c r="B23" s="715">
        <f>SUM(C23:E23)</f>
        <v>6901</v>
      </c>
      <c r="C23" s="719">
        <v>2296</v>
      </c>
      <c r="D23" s="719">
        <v>474</v>
      </c>
      <c r="E23" s="720">
        <v>4131</v>
      </c>
    </row>
    <row r="24" spans="1:5" ht="12.75" customHeight="1">
      <c r="A24" s="718">
        <v>2011</v>
      </c>
      <c r="B24" s="715">
        <f>SUM(C24:E24)</f>
        <v>7692</v>
      </c>
      <c r="C24" s="719">
        <v>2411</v>
      </c>
      <c r="D24" s="719">
        <v>560</v>
      </c>
      <c r="E24" s="720">
        <v>4721</v>
      </c>
    </row>
    <row r="25" spans="1:5" ht="13.5" thickBot="1">
      <c r="A25" s="721">
        <v>2012</v>
      </c>
      <c r="B25" s="722">
        <f>SUM(C25:E25)</f>
        <v>7877</v>
      </c>
      <c r="C25" s="723">
        <v>2450</v>
      </c>
      <c r="D25" s="723">
        <v>560</v>
      </c>
      <c r="E25" s="724">
        <v>4867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8">
      <c r="A34" s="725" t="s">
        <v>100</v>
      </c>
    </row>
    <row r="35" ht="13.5" thickBot="1"/>
    <row r="36" spans="1:3" ht="27" customHeight="1">
      <c r="A36" s="726" t="s">
        <v>18</v>
      </c>
      <c r="B36" s="991" t="s">
        <v>101</v>
      </c>
      <c r="C36" s="992"/>
    </row>
    <row r="37" spans="1:3" ht="12.75">
      <c r="A37" s="711"/>
      <c r="B37" s="727"/>
      <c r="C37" s="728"/>
    </row>
    <row r="38" spans="1:3" ht="12.75">
      <c r="A38" s="711">
        <v>1995</v>
      </c>
      <c r="B38" s="993">
        <v>19.7</v>
      </c>
      <c r="C38" s="994"/>
    </row>
    <row r="39" spans="1:3" ht="12.75">
      <c r="A39" s="711">
        <v>1996</v>
      </c>
      <c r="B39" s="993">
        <v>17</v>
      </c>
      <c r="C39" s="994"/>
    </row>
    <row r="40" spans="1:3" ht="12.75">
      <c r="A40" s="711">
        <v>1997</v>
      </c>
      <c r="B40" s="993">
        <v>14.5</v>
      </c>
      <c r="C40" s="994"/>
    </row>
    <row r="41" spans="1:3" ht="12.75">
      <c r="A41" s="711">
        <v>1998</v>
      </c>
      <c r="B41" s="993">
        <v>12.4</v>
      </c>
      <c r="C41" s="994"/>
    </row>
    <row r="42" spans="1:3" ht="12.75">
      <c r="A42" s="711">
        <v>1999</v>
      </c>
      <c r="B42" s="993">
        <v>11.3</v>
      </c>
      <c r="C42" s="994"/>
    </row>
    <row r="43" spans="1:3" ht="12.75">
      <c r="A43" s="711">
        <v>2000</v>
      </c>
      <c r="B43" s="993">
        <v>10.4</v>
      </c>
      <c r="C43" s="994"/>
    </row>
    <row r="44" spans="1:3" ht="12.75">
      <c r="A44" s="711">
        <v>2001</v>
      </c>
      <c r="B44" s="993">
        <v>9.7</v>
      </c>
      <c r="C44" s="994"/>
    </row>
    <row r="45" spans="1:4" ht="12.75">
      <c r="A45" s="711">
        <v>2002</v>
      </c>
      <c r="B45" s="993">
        <v>9.1</v>
      </c>
      <c r="C45" s="994"/>
      <c r="D45" s="461"/>
    </row>
    <row r="46" spans="1:3" ht="12.75">
      <c r="A46" s="718">
        <v>2003</v>
      </c>
      <c r="B46" s="993">
        <v>9.07</v>
      </c>
      <c r="C46" s="994"/>
    </row>
    <row r="47" spans="1:3" ht="12.75">
      <c r="A47" s="718">
        <v>2004</v>
      </c>
      <c r="B47" s="993">
        <v>8.7</v>
      </c>
      <c r="C47" s="994"/>
    </row>
    <row r="48" spans="1:3" ht="12.75">
      <c r="A48" s="718">
        <v>2005</v>
      </c>
      <c r="B48" s="993">
        <v>8.4</v>
      </c>
      <c r="C48" s="994"/>
    </row>
    <row r="49" spans="1:3" ht="12.75">
      <c r="A49" s="718">
        <v>2006</v>
      </c>
      <c r="B49" s="993">
        <v>8.552</v>
      </c>
      <c r="C49" s="994"/>
    </row>
    <row r="50" spans="1:3" ht="12.75">
      <c r="A50" s="718">
        <v>2007</v>
      </c>
      <c r="B50" s="993">
        <v>8.174</v>
      </c>
      <c r="C50" s="994"/>
    </row>
    <row r="51" spans="1:3" ht="12.75">
      <c r="A51" s="718">
        <v>2008</v>
      </c>
      <c r="B51" s="993">
        <v>8.004</v>
      </c>
      <c r="C51" s="994"/>
    </row>
    <row r="52" spans="1:3" ht="12.75">
      <c r="A52" s="718">
        <v>2009</v>
      </c>
      <c r="B52" s="995">
        <v>7.85</v>
      </c>
      <c r="C52" s="996"/>
    </row>
    <row r="53" spans="1:3" ht="12.75">
      <c r="A53" s="718">
        <v>2010</v>
      </c>
      <c r="B53" s="995">
        <v>7.81</v>
      </c>
      <c r="C53" s="996"/>
    </row>
    <row r="54" spans="1:3" ht="12.75">
      <c r="A54" s="718">
        <v>2011</v>
      </c>
      <c r="B54" s="995">
        <v>7.7</v>
      </c>
      <c r="C54" s="996"/>
    </row>
    <row r="55" spans="1:3" ht="13.5" thickBot="1">
      <c r="A55" s="721">
        <v>2012</v>
      </c>
      <c r="B55" s="1001">
        <v>7.6</v>
      </c>
      <c r="C55" s="1002"/>
    </row>
    <row r="56" ht="12.75"/>
    <row r="57" ht="12.75"/>
    <row r="58" ht="12.75"/>
    <row r="59" ht="12.75"/>
    <row r="60" ht="12.75"/>
    <row r="61" spans="16:25" ht="12.75">
      <c r="P61" s="729"/>
      <c r="Q61" s="729"/>
      <c r="R61" s="729"/>
      <c r="S61" s="729"/>
      <c r="T61" s="729"/>
      <c r="U61" s="729"/>
      <c r="V61" s="729"/>
      <c r="W61" s="729"/>
      <c r="X61" s="729"/>
      <c r="Y61" s="729"/>
    </row>
    <row r="62" spans="16:25" ht="12.75">
      <c r="P62" s="729"/>
      <c r="Q62" s="729"/>
      <c r="R62" s="729"/>
      <c r="S62" s="729"/>
      <c r="T62" s="729"/>
      <c r="U62" s="729"/>
      <c r="V62" s="729"/>
      <c r="W62" s="729"/>
      <c r="X62" s="729"/>
      <c r="Y62" s="729"/>
    </row>
    <row r="63" spans="1:25" ht="18">
      <c r="A63" s="725" t="s">
        <v>102</v>
      </c>
      <c r="P63" s="729"/>
      <c r="Q63" s="729"/>
      <c r="R63" s="729"/>
      <c r="S63" s="729"/>
      <c r="T63" s="729"/>
      <c r="U63" s="729"/>
      <c r="V63" s="729"/>
      <c r="W63" s="729"/>
      <c r="X63" s="729"/>
      <c r="Y63" s="729"/>
    </row>
    <row r="64" spans="16:25" ht="12.75">
      <c r="P64" s="729"/>
      <c r="Q64" s="729"/>
      <c r="R64" s="729"/>
      <c r="S64" s="729"/>
      <c r="T64" s="729"/>
      <c r="U64" s="729"/>
      <c r="V64" s="729"/>
      <c r="W64" s="729"/>
      <c r="X64" s="729"/>
      <c r="Y64" s="729"/>
    </row>
    <row r="65" spans="16:25" ht="13.5" thickBot="1">
      <c r="P65" s="729"/>
      <c r="Q65" s="729"/>
      <c r="R65" s="729"/>
      <c r="S65" s="729"/>
      <c r="T65" s="729"/>
      <c r="U65" s="729"/>
      <c r="V65" s="729"/>
      <c r="W65" s="729"/>
      <c r="X65" s="729"/>
      <c r="Y65" s="729"/>
    </row>
    <row r="66" spans="1:25" ht="39.75" customHeight="1">
      <c r="A66" s="726" t="s">
        <v>18</v>
      </c>
      <c r="B66" s="991" t="s">
        <v>108</v>
      </c>
      <c r="C66" s="991"/>
      <c r="D66" s="991" t="s">
        <v>103</v>
      </c>
      <c r="E66" s="992"/>
      <c r="P66" s="447"/>
      <c r="Q66" s="447"/>
      <c r="R66" s="447"/>
      <c r="S66" s="447"/>
      <c r="T66" s="729"/>
      <c r="U66" s="447"/>
      <c r="V66" s="447"/>
      <c r="W66" s="447"/>
      <c r="X66" s="729"/>
      <c r="Y66" s="729"/>
    </row>
    <row r="67" spans="1:25" ht="12.75" customHeight="1">
      <c r="A67" s="711"/>
      <c r="B67" s="730"/>
      <c r="C67" s="731"/>
      <c r="D67" s="732"/>
      <c r="E67" s="733"/>
      <c r="P67" s="447"/>
      <c r="Q67" s="734"/>
      <c r="R67" s="735"/>
      <c r="S67" s="735"/>
      <c r="T67" s="729"/>
      <c r="U67" s="729"/>
      <c r="V67" s="729"/>
      <c r="W67" s="729"/>
      <c r="X67" s="729"/>
      <c r="Y67" s="729"/>
    </row>
    <row r="68" spans="1:25" ht="12.75" customHeight="1">
      <c r="A68" s="711">
        <v>1995</v>
      </c>
      <c r="B68" s="997">
        <v>2052.1</v>
      </c>
      <c r="C68" s="998"/>
      <c r="D68" s="999"/>
      <c r="E68" s="1000"/>
      <c r="P68" s="447"/>
      <c r="Q68" s="734"/>
      <c r="R68" s="734"/>
      <c r="S68" s="734"/>
      <c r="T68" s="729"/>
      <c r="U68" s="729"/>
      <c r="V68" s="729"/>
      <c r="W68" s="729"/>
      <c r="X68" s="729"/>
      <c r="Y68" s="729"/>
    </row>
    <row r="69" spans="1:25" ht="12.75" customHeight="1">
      <c r="A69" s="711">
        <v>1996</v>
      </c>
      <c r="B69" s="997">
        <v>2024.93</v>
      </c>
      <c r="C69" s="998"/>
      <c r="D69" s="999">
        <f aca="true" t="shared" si="1" ref="D69:D78">+((B69/B68)-1)*100</f>
        <v>-1.3240095511914518</v>
      </c>
      <c r="E69" s="1000"/>
      <c r="P69" s="447"/>
      <c r="Q69" s="734"/>
      <c r="R69" s="734"/>
      <c r="S69" s="734"/>
      <c r="T69" s="729"/>
      <c r="U69" s="729"/>
      <c r="V69" s="729"/>
      <c r="W69" s="729"/>
      <c r="X69" s="729"/>
      <c r="Y69" s="729"/>
    </row>
    <row r="70" spans="1:25" ht="12.75">
      <c r="A70" s="711" t="s">
        <v>104</v>
      </c>
      <c r="B70" s="997">
        <v>2400.9</v>
      </c>
      <c r="C70" s="998"/>
      <c r="D70" s="999">
        <f t="shared" si="1"/>
        <v>18.567061577437237</v>
      </c>
      <c r="E70" s="1000"/>
      <c r="P70" s="736"/>
      <c r="Q70" s="737"/>
      <c r="R70" s="737"/>
      <c r="S70" s="737"/>
      <c r="T70" s="729"/>
      <c r="U70" s="729"/>
      <c r="V70" s="729"/>
      <c r="W70" s="729"/>
      <c r="X70" s="729"/>
      <c r="Y70" s="729"/>
    </row>
    <row r="71" spans="1:25" ht="12.75">
      <c r="A71" s="711">
        <v>1998</v>
      </c>
      <c r="B71" s="997">
        <v>2520.6</v>
      </c>
      <c r="C71" s="998"/>
      <c r="D71" s="999">
        <f t="shared" si="1"/>
        <v>4.985630388604267</v>
      </c>
      <c r="E71" s="1000"/>
      <c r="P71" s="736"/>
      <c r="Q71" s="737"/>
      <c r="R71" s="737"/>
      <c r="S71" s="737"/>
      <c r="T71" s="729"/>
      <c r="U71" s="729"/>
      <c r="V71" s="729"/>
      <c r="W71" s="729"/>
      <c r="X71" s="729"/>
      <c r="Y71" s="729"/>
    </row>
    <row r="72" spans="1:25" ht="12.75">
      <c r="A72" s="711">
        <v>1999</v>
      </c>
      <c r="B72" s="997">
        <v>2580.3</v>
      </c>
      <c r="C72" s="998"/>
      <c r="D72" s="999">
        <f t="shared" si="1"/>
        <v>2.368483694358492</v>
      </c>
      <c r="E72" s="1000"/>
      <c r="P72" s="736"/>
      <c r="Q72" s="737"/>
      <c r="R72" s="737"/>
      <c r="S72" s="737"/>
      <c r="T72" s="729"/>
      <c r="U72" s="729"/>
      <c r="V72" s="729"/>
      <c r="W72" s="729"/>
      <c r="X72" s="729"/>
      <c r="Y72" s="729"/>
    </row>
    <row r="73" spans="1:25" ht="12.75">
      <c r="A73" s="711">
        <v>2000</v>
      </c>
      <c r="B73" s="997">
        <v>2620.7</v>
      </c>
      <c r="C73" s="998"/>
      <c r="D73" s="999">
        <f t="shared" si="1"/>
        <v>1.5657094136340532</v>
      </c>
      <c r="E73" s="1000"/>
      <c r="P73" s="447"/>
      <c r="Q73" s="734"/>
      <c r="R73" s="734"/>
      <c r="S73" s="734"/>
      <c r="T73" s="729"/>
      <c r="U73" s="729"/>
      <c r="V73" s="729"/>
      <c r="W73" s="729"/>
      <c r="X73" s="729"/>
      <c r="Y73" s="729"/>
    </row>
    <row r="74" spans="1:25" ht="12.75">
      <c r="A74" s="711" t="s">
        <v>105</v>
      </c>
      <c r="B74" s="997">
        <v>2792.22</v>
      </c>
      <c r="C74" s="998"/>
      <c r="D74" s="999">
        <f t="shared" si="1"/>
        <v>6.544816270462084</v>
      </c>
      <c r="E74" s="1000"/>
      <c r="P74" s="447"/>
      <c r="Q74" s="734"/>
      <c r="R74" s="734"/>
      <c r="S74" s="734"/>
      <c r="T74" s="729"/>
      <c r="U74" s="729"/>
      <c r="V74" s="729"/>
      <c r="W74" s="729"/>
      <c r="X74" s="729"/>
      <c r="Y74" s="729"/>
    </row>
    <row r="75" spans="1:25" ht="12.75">
      <c r="A75" s="711">
        <v>2002</v>
      </c>
      <c r="B75" s="997">
        <v>2908.2</v>
      </c>
      <c r="C75" s="998"/>
      <c r="D75" s="999">
        <f t="shared" si="1"/>
        <v>4.15368416528783</v>
      </c>
      <c r="E75" s="1000"/>
      <c r="P75" s="447"/>
      <c r="Q75" s="734"/>
      <c r="R75" s="734"/>
      <c r="S75" s="734"/>
      <c r="T75" s="729"/>
      <c r="U75" s="729"/>
      <c r="V75" s="729"/>
      <c r="W75" s="729"/>
      <c r="X75" s="729"/>
      <c r="Y75" s="729"/>
    </row>
    <row r="76" spans="1:25" ht="12.75">
      <c r="A76" s="718">
        <v>2003</v>
      </c>
      <c r="B76" s="997">
        <v>2964.7549</v>
      </c>
      <c r="C76" s="998"/>
      <c r="D76" s="999">
        <f t="shared" si="1"/>
        <v>1.944670242761859</v>
      </c>
      <c r="E76" s="1000"/>
      <c r="P76" s="447"/>
      <c r="Q76" s="734"/>
      <c r="R76" s="734"/>
      <c r="S76" s="734"/>
      <c r="T76" s="729"/>
      <c r="U76" s="729"/>
      <c r="V76" s="729"/>
      <c r="W76" s="729"/>
      <c r="X76" s="729"/>
      <c r="Y76" s="729"/>
    </row>
    <row r="77" spans="1:25" ht="12.75">
      <c r="A77" s="718">
        <v>2004</v>
      </c>
      <c r="B77" s="997">
        <v>3130.8466199999993</v>
      </c>
      <c r="C77" s="998"/>
      <c r="D77" s="999">
        <f t="shared" si="1"/>
        <v>5.602207453978725</v>
      </c>
      <c r="E77" s="1000"/>
      <c r="P77" s="447"/>
      <c r="Q77" s="734"/>
      <c r="R77" s="734"/>
      <c r="S77" s="734"/>
      <c r="T77" s="729"/>
      <c r="U77" s="729"/>
      <c r="V77" s="729"/>
      <c r="W77" s="729"/>
      <c r="X77" s="729"/>
      <c r="Y77" s="729"/>
    </row>
    <row r="78" spans="1:25" ht="12.75">
      <c r="A78" s="718">
        <v>2005</v>
      </c>
      <c r="B78" s="997">
        <v>3305.01405</v>
      </c>
      <c r="C78" s="998"/>
      <c r="D78" s="999">
        <f t="shared" si="1"/>
        <v>5.562949934609085</v>
      </c>
      <c r="E78" s="1000"/>
      <c r="P78" s="447"/>
      <c r="Q78" s="734"/>
      <c r="R78" s="734"/>
      <c r="S78" s="734"/>
      <c r="T78" s="729"/>
      <c r="U78" s="729"/>
      <c r="V78" s="729"/>
      <c r="W78" s="729"/>
      <c r="X78" s="729"/>
      <c r="Y78" s="729"/>
    </row>
    <row r="79" spans="1:25" ht="12.75">
      <c r="A79" s="718">
        <v>2006</v>
      </c>
      <c r="B79" s="997">
        <v>3580</v>
      </c>
      <c r="C79" s="998"/>
      <c r="D79" s="999">
        <f aca="true" t="shared" si="2" ref="D79:D84">+((B79/B78)-1)*100</f>
        <v>8.320265688431782</v>
      </c>
      <c r="E79" s="1000"/>
      <c r="P79" s="447"/>
      <c r="Q79" s="734"/>
      <c r="R79" s="734"/>
      <c r="S79" s="734"/>
      <c r="T79" s="729"/>
      <c r="U79" s="729"/>
      <c r="V79" s="729"/>
      <c r="W79" s="729"/>
      <c r="X79" s="729"/>
      <c r="Y79" s="729"/>
    </row>
    <row r="80" spans="1:25" ht="12.75">
      <c r="A80" s="718">
        <v>2007</v>
      </c>
      <c r="B80" s="997">
        <v>3965.6038100000005</v>
      </c>
      <c r="C80" s="998"/>
      <c r="D80" s="999">
        <f t="shared" si="2"/>
        <v>10.7710561452514</v>
      </c>
      <c r="E80" s="1000"/>
      <c r="P80" s="447"/>
      <c r="Q80" s="734"/>
      <c r="R80" s="734"/>
      <c r="S80" s="734"/>
      <c r="T80" s="729"/>
      <c r="U80" s="729"/>
      <c r="V80" s="729"/>
      <c r="W80" s="729"/>
      <c r="X80" s="729"/>
      <c r="Y80" s="729"/>
    </row>
    <row r="81" spans="1:25" ht="12.75">
      <c r="A81" s="718">
        <v>2008</v>
      </c>
      <c r="B81" s="997">
        <v>4198.65897</v>
      </c>
      <c r="C81" s="998"/>
      <c r="D81" s="999">
        <f t="shared" si="2"/>
        <v>5.87691487012163</v>
      </c>
      <c r="E81" s="1000"/>
      <c r="P81" s="447"/>
      <c r="Q81" s="734"/>
      <c r="R81" s="734"/>
      <c r="S81" s="734"/>
      <c r="T81" s="729"/>
      <c r="U81" s="729"/>
      <c r="V81" s="729"/>
      <c r="W81" s="729"/>
      <c r="X81" s="729"/>
      <c r="Y81" s="729"/>
    </row>
    <row r="82" spans="1:25" ht="12.75">
      <c r="A82" s="718">
        <v>2009</v>
      </c>
      <c r="B82" s="997">
        <v>4322.374830000001</v>
      </c>
      <c r="C82" s="998"/>
      <c r="D82" s="999">
        <f t="shared" si="2"/>
        <v>2.94655652873852</v>
      </c>
      <c r="E82" s="1000"/>
      <c r="P82" s="447"/>
      <c r="Q82" s="734"/>
      <c r="R82" s="734"/>
      <c r="S82" s="734"/>
      <c r="T82" s="729"/>
      <c r="U82" s="729"/>
      <c r="V82" s="729"/>
      <c r="W82" s="729"/>
      <c r="X82" s="729"/>
      <c r="Y82" s="729"/>
    </row>
    <row r="83" spans="1:25" ht="12.75">
      <c r="A83" s="718">
        <v>2010</v>
      </c>
      <c r="B83" s="997">
        <v>4578.94312</v>
      </c>
      <c r="C83" s="998"/>
      <c r="D83" s="999">
        <f t="shared" si="2"/>
        <v>5.9358176949221075</v>
      </c>
      <c r="E83" s="1000"/>
      <c r="P83" s="447"/>
      <c r="Q83" s="734"/>
      <c r="R83" s="734"/>
      <c r="S83" s="734"/>
      <c r="T83" s="729"/>
      <c r="U83" s="729"/>
      <c r="V83" s="729"/>
      <c r="W83" s="729"/>
      <c r="X83" s="729"/>
      <c r="Y83" s="729"/>
    </row>
    <row r="84" spans="1:25" ht="12.75">
      <c r="A84" s="718">
        <v>2011</v>
      </c>
      <c r="B84" s="997">
        <v>4961.19299</v>
      </c>
      <c r="C84" s="998"/>
      <c r="D84" s="999">
        <f t="shared" si="2"/>
        <v>8.347993412069288</v>
      </c>
      <c r="E84" s="1000"/>
      <c r="P84" s="729"/>
      <c r="Q84" s="729"/>
      <c r="R84" s="729"/>
      <c r="S84" s="729"/>
      <c r="T84" s="729"/>
      <c r="U84" s="729"/>
      <c r="V84" s="729"/>
      <c r="W84" s="729"/>
      <c r="X84" s="729"/>
      <c r="Y84" s="729"/>
    </row>
    <row r="85" spans="1:25" ht="13.5" thickBot="1">
      <c r="A85" s="721">
        <v>2012</v>
      </c>
      <c r="B85" s="1003">
        <v>5291</v>
      </c>
      <c r="C85" s="1004"/>
      <c r="D85" s="1005">
        <f>+((B85/B84)-1)*100</f>
        <v>6.647735951106393</v>
      </c>
      <c r="E85" s="1006"/>
      <c r="P85" s="729"/>
      <c r="Q85" s="729"/>
      <c r="R85" s="729"/>
      <c r="S85" s="729"/>
      <c r="T85" s="729"/>
      <c r="U85" s="729"/>
      <c r="V85" s="729"/>
      <c r="W85" s="729"/>
      <c r="X85" s="729"/>
      <c r="Y85" s="729"/>
    </row>
    <row r="86" spans="1:25" ht="12.75">
      <c r="A86" s="748" t="s">
        <v>122</v>
      </c>
      <c r="B86" s="749">
        <f>+(B85/B84)-1</f>
        <v>0.06647735951106393</v>
      </c>
      <c r="C86" s="750"/>
      <c r="D86" s="729"/>
      <c r="E86" s="729"/>
      <c r="P86" s="729"/>
      <c r="Q86" s="729"/>
      <c r="R86" s="729"/>
      <c r="S86" s="729"/>
      <c r="T86" s="729"/>
      <c r="U86" s="729"/>
      <c r="V86" s="729"/>
      <c r="W86" s="729"/>
      <c r="X86" s="729"/>
      <c r="Y86" s="729"/>
    </row>
    <row r="87" spans="1:25" ht="12.75">
      <c r="A87" s="738" t="s">
        <v>123</v>
      </c>
      <c r="B87" s="739">
        <f>+(B85/B80)^(1/5)-1</f>
        <v>0.05936516427895566</v>
      </c>
      <c r="C87" s="746"/>
      <c r="D87" s="729"/>
      <c r="E87" s="729"/>
      <c r="P87" s="447"/>
      <c r="Q87" s="734"/>
      <c r="R87" s="734"/>
      <c r="S87" s="734"/>
      <c r="T87" s="729"/>
      <c r="U87" s="729"/>
      <c r="V87" s="729"/>
      <c r="W87" s="729"/>
      <c r="X87" s="729"/>
      <c r="Y87" s="729"/>
    </row>
    <row r="88" spans="1:25" ht="12.75">
      <c r="A88" s="738" t="s">
        <v>124</v>
      </c>
      <c r="B88" s="739">
        <f>+(B85/B73)^(1/12)-1</f>
        <v>0.06029497797747241</v>
      </c>
      <c r="C88" s="747"/>
      <c r="D88" s="729"/>
      <c r="E88" s="729"/>
      <c r="P88" s="447"/>
      <c r="Q88" s="734"/>
      <c r="R88" s="734"/>
      <c r="S88" s="734"/>
      <c r="T88" s="729"/>
      <c r="U88" s="729"/>
      <c r="V88" s="729"/>
      <c r="W88" s="729"/>
      <c r="X88" s="729"/>
      <c r="Y88" s="729"/>
    </row>
    <row r="89" spans="1:25" ht="13.5" thickBot="1">
      <c r="A89" s="740" t="s">
        <v>111</v>
      </c>
      <c r="B89" s="741">
        <f>+(B85/B73)-1</f>
        <v>1.0189262410806275</v>
      </c>
      <c r="C89" s="742"/>
      <c r="D89" s="321"/>
      <c r="E89" s="321"/>
      <c r="P89" s="447"/>
      <c r="Q89" s="734"/>
      <c r="R89" s="734"/>
      <c r="S89" s="734"/>
      <c r="T89" s="729"/>
      <c r="U89" s="729"/>
      <c r="V89" s="729"/>
      <c r="W89" s="729"/>
      <c r="X89" s="729"/>
      <c r="Y89" s="729"/>
    </row>
    <row r="90" spans="16:25" ht="12.75">
      <c r="P90" s="729"/>
      <c r="Q90" s="729"/>
      <c r="R90" s="729"/>
      <c r="S90" s="729"/>
      <c r="T90" s="729"/>
      <c r="U90" s="729"/>
      <c r="V90" s="729"/>
      <c r="W90" s="729"/>
      <c r="X90" s="729"/>
      <c r="Y90" s="729"/>
    </row>
    <row r="91" spans="1:25" ht="18">
      <c r="A91" s="743" t="s">
        <v>107</v>
      </c>
      <c r="P91" s="729"/>
      <c r="Q91" s="729"/>
      <c r="R91" s="729"/>
      <c r="S91" s="729"/>
      <c r="T91" s="729"/>
      <c r="U91" s="729"/>
      <c r="V91" s="729"/>
      <c r="W91" s="729"/>
      <c r="X91" s="729"/>
      <c r="Y91" s="729"/>
    </row>
    <row r="92" spans="1:25" ht="12.75">
      <c r="A92" s="744" t="s">
        <v>106</v>
      </c>
      <c r="P92" s="729"/>
      <c r="Q92" s="729"/>
      <c r="R92" s="729"/>
      <c r="S92" s="729"/>
      <c r="T92" s="729"/>
      <c r="U92" s="729"/>
      <c r="V92" s="729"/>
      <c r="W92" s="729"/>
      <c r="X92" s="729"/>
      <c r="Y92" s="729"/>
    </row>
    <row r="93" spans="1:25" ht="12.75">
      <c r="A93" s="744"/>
      <c r="P93" s="729"/>
      <c r="Q93" s="729"/>
      <c r="R93" s="729"/>
      <c r="S93" s="729"/>
      <c r="T93" s="729"/>
      <c r="U93" s="729"/>
      <c r="V93" s="729"/>
      <c r="W93" s="729"/>
      <c r="X93" s="729"/>
      <c r="Y93" s="729"/>
    </row>
    <row r="94" ht="12.75">
      <c r="A94" s="745"/>
    </row>
  </sheetData>
  <sheetProtection/>
  <mergeCells count="59">
    <mergeCell ref="B55:C55"/>
    <mergeCell ref="B85:C85"/>
    <mergeCell ref="D85:E85"/>
    <mergeCell ref="B84:C84"/>
    <mergeCell ref="D82:E82"/>
    <mergeCell ref="B81:C81"/>
    <mergeCell ref="D79:E79"/>
    <mergeCell ref="D83:E83"/>
    <mergeCell ref="B82:C82"/>
    <mergeCell ref="D80:E80"/>
    <mergeCell ref="B83:C83"/>
    <mergeCell ref="D81:E81"/>
    <mergeCell ref="D84:E84"/>
    <mergeCell ref="B78:C78"/>
    <mergeCell ref="D76:E76"/>
    <mergeCell ref="B79:C79"/>
    <mergeCell ref="D77:E77"/>
    <mergeCell ref="B80:C80"/>
    <mergeCell ref="D78:E78"/>
    <mergeCell ref="B75:C75"/>
    <mergeCell ref="D73:E73"/>
    <mergeCell ref="B76:C76"/>
    <mergeCell ref="D74:E74"/>
    <mergeCell ref="B77:C77"/>
    <mergeCell ref="D75:E75"/>
    <mergeCell ref="B72:C72"/>
    <mergeCell ref="D70:E70"/>
    <mergeCell ref="B73:C73"/>
    <mergeCell ref="D71:E71"/>
    <mergeCell ref="B74:C74"/>
    <mergeCell ref="D72:E72"/>
    <mergeCell ref="B53:C53"/>
    <mergeCell ref="B66:C66"/>
    <mergeCell ref="D66:E66"/>
    <mergeCell ref="B70:C70"/>
    <mergeCell ref="D68:E68"/>
    <mergeCell ref="B71:C71"/>
    <mergeCell ref="D69:E69"/>
    <mergeCell ref="B68:C68"/>
    <mergeCell ref="B69:C69"/>
    <mergeCell ref="B54:C5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6:A7"/>
    <mergeCell ref="B6:E6"/>
    <mergeCell ref="B36:C36"/>
    <mergeCell ref="B38:C38"/>
    <mergeCell ref="B39:C39"/>
    <mergeCell ref="B40:C40"/>
  </mergeCells>
  <printOptions/>
  <pageMargins left="0.83" right="0.36" top="1.01" bottom="0.39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I107"/>
  <sheetViews>
    <sheetView showGridLines="0" zoomScale="70" zoomScaleNormal="70" zoomScaleSheetLayoutView="53" zoomScalePageLayoutView="0" workbookViewId="0" topLeftCell="A19">
      <selection activeCell="Z106" sqref="Z106"/>
    </sheetView>
  </sheetViews>
  <sheetFormatPr defaultColWidth="11.421875" defaultRowHeight="12.75"/>
  <cols>
    <col min="1" max="1" width="4.8515625" style="1017" customWidth="1"/>
    <col min="2" max="2" width="73.140625" style="1017" customWidth="1"/>
    <col min="3" max="3" width="11.00390625" style="1017" customWidth="1"/>
    <col min="4" max="11" width="11.57421875" style="1017" customWidth="1"/>
    <col min="12" max="13" width="11.00390625" style="1017" customWidth="1"/>
    <col min="14" max="14" width="10.57421875" style="1017" customWidth="1"/>
    <col min="15" max="18" width="10.28125" style="1017" customWidth="1"/>
    <col min="19" max="23" width="11.00390625" style="1017" customWidth="1"/>
    <col min="24" max="25" width="14.7109375" style="1017" customWidth="1"/>
    <col min="26" max="26" width="14.28125" style="1017" customWidth="1"/>
    <col min="27" max="30" width="11.421875" style="1017" customWidth="1"/>
    <col min="31" max="31" width="23.140625" style="1017" customWidth="1"/>
    <col min="32" max="16384" width="11.421875" style="1017" customWidth="1"/>
  </cols>
  <sheetData>
    <row r="5" spans="1:26" ht="20.25">
      <c r="A5" s="1016" t="s">
        <v>173</v>
      </c>
      <c r="B5" s="1016"/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</row>
    <row r="7" spans="1:26" ht="18">
      <c r="A7" s="1018" t="s">
        <v>174</v>
      </c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</row>
    <row r="8" ht="13.5" thickBot="1"/>
    <row r="9" spans="1:34" s="1028" customFormat="1" ht="16.5" thickBot="1">
      <c r="A9" s="1019" t="s">
        <v>175</v>
      </c>
      <c r="B9" s="1020" t="s">
        <v>176</v>
      </c>
      <c r="C9" s="1021">
        <v>1990</v>
      </c>
      <c r="D9" s="1022">
        <v>1991</v>
      </c>
      <c r="E9" s="1022">
        <v>1992</v>
      </c>
      <c r="F9" s="1022">
        <v>1993</v>
      </c>
      <c r="G9" s="1022">
        <v>1994</v>
      </c>
      <c r="H9" s="1022">
        <v>1995</v>
      </c>
      <c r="I9" s="1022">
        <v>1996</v>
      </c>
      <c r="J9" s="1022">
        <v>1997</v>
      </c>
      <c r="K9" s="1022">
        <v>1998</v>
      </c>
      <c r="L9" s="1022">
        <v>1999</v>
      </c>
      <c r="M9" s="1021">
        <v>2000</v>
      </c>
      <c r="N9" s="1021">
        <v>2001</v>
      </c>
      <c r="O9" s="1021">
        <v>2002</v>
      </c>
      <c r="P9" s="1021">
        <v>2003</v>
      </c>
      <c r="Q9" s="1021">
        <v>2004</v>
      </c>
      <c r="R9" s="1021">
        <v>2005</v>
      </c>
      <c r="S9" s="1021">
        <v>2006</v>
      </c>
      <c r="T9" s="1021">
        <v>2007</v>
      </c>
      <c r="U9" s="1021">
        <v>2008</v>
      </c>
      <c r="V9" s="1023">
        <v>2009</v>
      </c>
      <c r="W9" s="1024">
        <v>2010</v>
      </c>
      <c r="X9" s="1024">
        <v>2011</v>
      </c>
      <c r="Y9" s="1025">
        <v>2012</v>
      </c>
      <c r="Z9" s="1026" t="s">
        <v>0</v>
      </c>
      <c r="AA9" s="1027"/>
      <c r="AB9" s="1027"/>
      <c r="AC9" s="1027"/>
      <c r="AD9" s="1027"/>
      <c r="AE9" s="1027"/>
      <c r="AF9" s="1027"/>
      <c r="AG9" s="1027"/>
      <c r="AH9" s="1027"/>
    </row>
    <row r="10" spans="1:34" s="878" customFormat="1" ht="14.25">
      <c r="A10" s="1029">
        <v>1</v>
      </c>
      <c r="B10" s="1030" t="s">
        <v>177</v>
      </c>
      <c r="C10" s="1031"/>
      <c r="D10" s="1031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>
        <v>189</v>
      </c>
      <c r="X10" s="1033">
        <v>96</v>
      </c>
      <c r="Y10" s="1033">
        <v>0</v>
      </c>
      <c r="Z10" s="1034">
        <f>SUM(C10:Y10)</f>
        <v>285</v>
      </c>
      <c r="AA10" s="1035"/>
      <c r="AB10" s="1036"/>
      <c r="AC10" s="1036"/>
      <c r="AD10" s="1036"/>
      <c r="AE10" s="1036"/>
      <c r="AF10" s="1036"/>
      <c r="AG10" s="1036"/>
      <c r="AH10" s="1036"/>
    </row>
    <row r="11" spans="1:34" s="878" customFormat="1" ht="14.25">
      <c r="A11" s="1037">
        <f>+A10+1</f>
        <v>2</v>
      </c>
      <c r="B11" s="1038" t="s">
        <v>178</v>
      </c>
      <c r="C11" s="1039"/>
      <c r="D11" s="1039"/>
      <c r="E11" s="1040"/>
      <c r="F11" s="1040"/>
      <c r="G11" s="1040"/>
      <c r="H11" s="1040"/>
      <c r="I11" s="1040"/>
      <c r="J11" s="1040"/>
      <c r="K11" s="1040"/>
      <c r="L11" s="1040"/>
      <c r="M11" s="1040"/>
      <c r="N11" s="1041"/>
      <c r="O11" s="1041"/>
      <c r="P11" s="1041"/>
      <c r="Q11" s="1041"/>
      <c r="R11" s="1041"/>
      <c r="S11" s="1041"/>
      <c r="T11" s="1041">
        <v>364</v>
      </c>
      <c r="U11" s="1041">
        <v>10952</v>
      </c>
      <c r="V11" s="1041">
        <v>13012</v>
      </c>
      <c r="W11" s="1041">
        <v>5393</v>
      </c>
      <c r="X11" s="1042">
        <v>1075</v>
      </c>
      <c r="Y11" s="1042">
        <v>166</v>
      </c>
      <c r="Z11" s="1043">
        <f>SUM(C11:Y11)</f>
        <v>30962</v>
      </c>
      <c r="AA11" s="1035"/>
      <c r="AB11" s="1036"/>
      <c r="AC11" s="1036"/>
      <c r="AD11" s="1036"/>
      <c r="AE11" s="1036"/>
      <c r="AF11" s="1036"/>
      <c r="AG11" s="1036"/>
      <c r="AH11" s="1036"/>
    </row>
    <row r="12" spans="1:34" s="878" customFormat="1" ht="14.25">
      <c r="A12" s="1037">
        <f aca="true" t="shared" si="0" ref="A12:A68">+A11+1</f>
        <v>3</v>
      </c>
      <c r="B12" s="1038" t="s">
        <v>284</v>
      </c>
      <c r="C12" s="1238"/>
      <c r="D12" s="1039"/>
      <c r="E12" s="1040"/>
      <c r="F12" s="1040"/>
      <c r="G12" s="1040"/>
      <c r="H12" s="1040"/>
      <c r="I12" s="1040"/>
      <c r="J12" s="1040"/>
      <c r="K12" s="1040"/>
      <c r="L12" s="1040"/>
      <c r="M12" s="1040"/>
      <c r="N12" s="1041"/>
      <c r="O12" s="1041"/>
      <c r="P12" s="1041"/>
      <c r="Q12" s="1041"/>
      <c r="R12" s="1041"/>
      <c r="S12" s="1041"/>
      <c r="T12" s="1041"/>
      <c r="U12" s="1041"/>
      <c r="V12" s="1041"/>
      <c r="W12" s="1041"/>
      <c r="X12" s="1042"/>
      <c r="Y12" s="1042">
        <v>2395</v>
      </c>
      <c r="Z12" s="1043">
        <f aca="true" t="shared" si="1" ref="Z12:Z68">SUM(C12:Y12)</f>
        <v>2395</v>
      </c>
      <c r="AA12" s="1035"/>
      <c r="AB12" s="1036"/>
      <c r="AC12" s="1036"/>
      <c r="AD12" s="1036"/>
      <c r="AE12" s="1036"/>
      <c r="AF12" s="1036"/>
      <c r="AG12" s="1036"/>
      <c r="AH12" s="1036"/>
    </row>
    <row r="13" spans="1:34" s="878" customFormat="1" ht="14.25">
      <c r="A13" s="1037">
        <f t="shared" si="0"/>
        <v>4</v>
      </c>
      <c r="B13" s="1038" t="s">
        <v>285</v>
      </c>
      <c r="C13" s="1238"/>
      <c r="D13" s="1039"/>
      <c r="E13" s="1040"/>
      <c r="F13" s="1040"/>
      <c r="G13" s="1040"/>
      <c r="H13" s="1040"/>
      <c r="I13" s="1040"/>
      <c r="J13" s="1040"/>
      <c r="K13" s="1040"/>
      <c r="L13" s="1040"/>
      <c r="M13" s="1040"/>
      <c r="N13" s="1041"/>
      <c r="O13" s="1041"/>
      <c r="P13" s="1041"/>
      <c r="Q13" s="1041"/>
      <c r="R13" s="1041"/>
      <c r="S13" s="1041"/>
      <c r="T13" s="1041"/>
      <c r="U13" s="1041"/>
      <c r="V13" s="1041"/>
      <c r="W13" s="1041"/>
      <c r="X13" s="1042"/>
      <c r="Y13" s="1042">
        <v>200</v>
      </c>
      <c r="Z13" s="1043">
        <f t="shared" si="1"/>
        <v>200</v>
      </c>
      <c r="AA13" s="1035"/>
      <c r="AB13" s="1036"/>
      <c r="AC13" s="1036"/>
      <c r="AD13" s="1036"/>
      <c r="AE13" s="1036"/>
      <c r="AF13" s="1036"/>
      <c r="AG13" s="1036"/>
      <c r="AH13" s="1036"/>
    </row>
    <row r="14" spans="1:34" s="878" customFormat="1" ht="14.25">
      <c r="A14" s="1037">
        <f t="shared" si="0"/>
        <v>5</v>
      </c>
      <c r="B14" s="1038" t="s">
        <v>179</v>
      </c>
      <c r="D14" s="1044"/>
      <c r="E14" s="1041"/>
      <c r="F14" s="1041"/>
      <c r="G14" s="1041"/>
      <c r="H14" s="1041"/>
      <c r="I14" s="1041"/>
      <c r="J14" s="1041">
        <v>2400</v>
      </c>
      <c r="K14" s="1041">
        <v>3900</v>
      </c>
      <c r="L14" s="1041">
        <v>3300</v>
      </c>
      <c r="M14" s="1041">
        <v>37300</v>
      </c>
      <c r="N14" s="1041">
        <v>597</v>
      </c>
      <c r="O14" s="1041"/>
      <c r="P14" s="1041"/>
      <c r="Q14" s="1041"/>
      <c r="R14" s="1041"/>
      <c r="S14" s="1041"/>
      <c r="T14" s="1041"/>
      <c r="U14" s="1041"/>
      <c r="V14" s="1041"/>
      <c r="W14" s="1041">
        <v>0</v>
      </c>
      <c r="X14" s="1042">
        <v>0</v>
      </c>
      <c r="Y14" s="1042">
        <v>0</v>
      </c>
      <c r="Z14" s="1043">
        <f t="shared" si="1"/>
        <v>47497</v>
      </c>
      <c r="AA14" s="1045"/>
      <c r="AB14" s="1046"/>
      <c r="AC14" s="1046"/>
      <c r="AD14" s="1046"/>
      <c r="AE14" s="1045"/>
      <c r="AF14" s="1046"/>
      <c r="AG14" s="1046"/>
      <c r="AH14" s="1046"/>
    </row>
    <row r="15" spans="1:34" s="878" customFormat="1" ht="13.5" customHeight="1">
      <c r="A15" s="1037">
        <f t="shared" si="0"/>
        <v>6</v>
      </c>
      <c r="B15" s="1038" t="s">
        <v>180</v>
      </c>
      <c r="C15" s="1044"/>
      <c r="D15" s="1044"/>
      <c r="E15" s="1041"/>
      <c r="F15" s="1041"/>
      <c r="G15" s="1041"/>
      <c r="H15" s="1041"/>
      <c r="I15" s="1041"/>
      <c r="J15" s="1041">
        <v>24000</v>
      </c>
      <c r="K15" s="1038"/>
      <c r="L15" s="1041">
        <v>6147</v>
      </c>
      <c r="M15" s="1041">
        <v>25</v>
      </c>
      <c r="N15" s="1041">
        <v>24</v>
      </c>
      <c r="O15" s="1041"/>
      <c r="P15" s="1041"/>
      <c r="Q15" s="1041"/>
      <c r="R15" s="1041"/>
      <c r="S15" s="1041"/>
      <c r="T15" s="1041"/>
      <c r="U15" s="1041"/>
      <c r="V15" s="1041"/>
      <c r="W15" s="1041">
        <v>0</v>
      </c>
      <c r="X15" s="1042">
        <v>0</v>
      </c>
      <c r="Y15" s="1042">
        <v>0</v>
      </c>
      <c r="Z15" s="1043">
        <f t="shared" si="1"/>
        <v>30196</v>
      </c>
      <c r="AA15" s="1045"/>
      <c r="AB15" s="1046"/>
      <c r="AC15" s="1046"/>
      <c r="AD15" s="1046"/>
      <c r="AE15" s="1045"/>
      <c r="AF15" s="1046"/>
      <c r="AG15" s="1046"/>
      <c r="AH15" s="1046"/>
    </row>
    <row r="16" spans="1:34" s="878" customFormat="1" ht="14.25">
      <c r="A16" s="1037">
        <f t="shared" si="0"/>
        <v>7</v>
      </c>
      <c r="B16" s="1038" t="s">
        <v>286</v>
      </c>
      <c r="C16" s="1044"/>
      <c r="D16" s="1039"/>
      <c r="E16" s="1040"/>
      <c r="F16" s="1040"/>
      <c r="G16" s="1040"/>
      <c r="H16" s="1040"/>
      <c r="I16" s="1040"/>
      <c r="J16" s="1040"/>
      <c r="K16" s="1040"/>
      <c r="L16" s="1040"/>
      <c r="M16" s="1040"/>
      <c r="N16" s="1041"/>
      <c r="O16" s="1041"/>
      <c r="P16" s="1041"/>
      <c r="Q16" s="1041"/>
      <c r="R16" s="1041"/>
      <c r="S16" s="1041"/>
      <c r="T16" s="1041"/>
      <c r="U16" s="1041"/>
      <c r="V16" s="1041">
        <v>876</v>
      </c>
      <c r="W16" s="1041">
        <v>285</v>
      </c>
      <c r="X16" s="1042">
        <v>127.7</v>
      </c>
      <c r="Y16" s="1042">
        <v>477</v>
      </c>
      <c r="Z16" s="1043">
        <f t="shared" si="1"/>
        <v>1765.7</v>
      </c>
      <c r="AA16" s="1045"/>
      <c r="AB16" s="1046"/>
      <c r="AC16" s="1046"/>
      <c r="AD16" s="1046"/>
      <c r="AE16" s="1045"/>
      <c r="AF16" s="1047"/>
      <c r="AG16" s="1046"/>
      <c r="AH16" s="1046"/>
    </row>
    <row r="17" spans="1:34" s="878" customFormat="1" ht="14.25">
      <c r="A17" s="1037">
        <f t="shared" si="0"/>
        <v>8</v>
      </c>
      <c r="B17" s="1038" t="s">
        <v>287</v>
      </c>
      <c r="C17" s="1044"/>
      <c r="D17" s="1039"/>
      <c r="E17" s="1040"/>
      <c r="F17" s="1040"/>
      <c r="G17" s="1040"/>
      <c r="H17" s="1040"/>
      <c r="I17" s="1040"/>
      <c r="J17" s="1040"/>
      <c r="K17" s="1040"/>
      <c r="L17" s="1040"/>
      <c r="M17" s="1040"/>
      <c r="N17" s="1041"/>
      <c r="O17" s="1041"/>
      <c r="P17" s="1041"/>
      <c r="Q17" s="1041"/>
      <c r="R17" s="1041"/>
      <c r="S17" s="1041"/>
      <c r="T17" s="1041"/>
      <c r="U17" s="1041"/>
      <c r="V17" s="1041"/>
      <c r="W17" s="1041"/>
      <c r="X17" s="1042"/>
      <c r="Y17" s="1042">
        <v>0</v>
      </c>
      <c r="Z17" s="1043">
        <f t="shared" si="1"/>
        <v>0</v>
      </c>
      <c r="AA17" s="1045"/>
      <c r="AB17" s="1046"/>
      <c r="AC17" s="1046"/>
      <c r="AD17" s="1046"/>
      <c r="AE17" s="1045"/>
      <c r="AF17" s="1047"/>
      <c r="AG17" s="1046"/>
      <c r="AH17" s="1046"/>
    </row>
    <row r="18" spans="1:34" s="878" customFormat="1" ht="14.25">
      <c r="A18" s="1037">
        <f t="shared" si="0"/>
        <v>9</v>
      </c>
      <c r="B18" s="1038" t="s">
        <v>181</v>
      </c>
      <c r="C18" s="1039"/>
      <c r="D18" s="1044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1"/>
      <c r="P18" s="1041"/>
      <c r="Q18" s="1041"/>
      <c r="R18" s="1041"/>
      <c r="S18" s="1041"/>
      <c r="T18" s="1041"/>
      <c r="U18" s="1041"/>
      <c r="V18" s="1041">
        <v>668</v>
      </c>
      <c r="W18" s="1041">
        <v>999</v>
      </c>
      <c r="X18" s="1042">
        <v>1455.5</v>
      </c>
      <c r="Y18" s="1042">
        <v>673.3</v>
      </c>
      <c r="Z18" s="1043">
        <f t="shared" si="1"/>
        <v>3795.8</v>
      </c>
      <c r="AA18" s="1045"/>
      <c r="AB18" s="1046"/>
      <c r="AC18" s="1046"/>
      <c r="AD18" s="1046"/>
      <c r="AE18" s="1045"/>
      <c r="AF18" s="1047"/>
      <c r="AG18" s="1046"/>
      <c r="AH18" s="1046"/>
    </row>
    <row r="19" spans="1:34" s="878" customFormat="1" ht="14.25">
      <c r="A19" s="1037">
        <f t="shared" si="0"/>
        <v>10</v>
      </c>
      <c r="B19" s="1038" t="s">
        <v>182</v>
      </c>
      <c r="C19" s="1044"/>
      <c r="D19" s="1044"/>
      <c r="E19" s="1041"/>
      <c r="F19" s="1041"/>
      <c r="G19" s="1041"/>
      <c r="H19" s="1041"/>
      <c r="I19" s="1041"/>
      <c r="J19" s="1041"/>
      <c r="K19" s="1038"/>
      <c r="L19" s="1041"/>
      <c r="M19" s="1041"/>
      <c r="N19" s="1041"/>
      <c r="O19" s="1041"/>
      <c r="P19" s="1041"/>
      <c r="Q19" s="1041"/>
      <c r="R19" s="1041"/>
      <c r="S19" s="1041">
        <v>21912</v>
      </c>
      <c r="T19" s="1041">
        <v>87705</v>
      </c>
      <c r="U19" s="1041">
        <v>114259</v>
      </c>
      <c r="V19" s="1041">
        <v>52970</v>
      </c>
      <c r="W19" s="1041">
        <v>5176</v>
      </c>
      <c r="X19" s="1042">
        <v>1669</v>
      </c>
      <c r="Y19" s="1042">
        <v>4709</v>
      </c>
      <c r="Z19" s="1043">
        <f t="shared" si="1"/>
        <v>288400</v>
      </c>
      <c r="AA19" s="1045"/>
      <c r="AB19" s="1046"/>
      <c r="AC19" s="1046"/>
      <c r="AD19" s="1046"/>
      <c r="AE19" s="1045"/>
      <c r="AF19" s="1047"/>
      <c r="AG19" s="1046"/>
      <c r="AH19" s="1046"/>
    </row>
    <row r="20" spans="1:34" s="878" customFormat="1" ht="14.25">
      <c r="A20" s="1037">
        <f t="shared" si="0"/>
        <v>11</v>
      </c>
      <c r="B20" s="1038" t="s">
        <v>183</v>
      </c>
      <c r="C20" s="1044"/>
      <c r="D20" s="1044"/>
      <c r="E20" s="1041"/>
      <c r="F20" s="1041"/>
      <c r="G20" s="1041"/>
      <c r="H20" s="1041"/>
      <c r="I20" s="1041"/>
      <c r="J20" s="1041"/>
      <c r="K20" s="1041"/>
      <c r="L20" s="1041"/>
      <c r="M20" s="1041"/>
      <c r="N20" s="1041"/>
      <c r="O20" s="1041"/>
      <c r="P20" s="1041"/>
      <c r="Q20" s="1041"/>
      <c r="R20" s="1041"/>
      <c r="S20" s="1041"/>
      <c r="T20" s="1041"/>
      <c r="U20" s="1041"/>
      <c r="V20" s="1041">
        <v>800</v>
      </c>
      <c r="W20" s="1041">
        <v>950</v>
      </c>
      <c r="X20" s="1042">
        <v>1500</v>
      </c>
      <c r="Y20" s="1042">
        <v>200</v>
      </c>
      <c r="Z20" s="1043">
        <f t="shared" si="1"/>
        <v>3450</v>
      </c>
      <c r="AA20" s="1045"/>
      <c r="AB20" s="1046"/>
      <c r="AC20" s="1046"/>
      <c r="AD20" s="1046"/>
      <c r="AE20" s="1045"/>
      <c r="AF20" s="1047"/>
      <c r="AG20" s="1046"/>
      <c r="AH20" s="1046"/>
    </row>
    <row r="21" spans="1:34" s="878" customFormat="1" ht="14.25">
      <c r="A21" s="1037">
        <f t="shared" si="0"/>
        <v>12</v>
      </c>
      <c r="B21" s="1038" t="s">
        <v>184</v>
      </c>
      <c r="C21" s="1044"/>
      <c r="D21" s="1044"/>
      <c r="E21" s="1041"/>
      <c r="F21" s="1041"/>
      <c r="G21" s="1041"/>
      <c r="H21" s="1041"/>
      <c r="I21" s="1041">
        <f>521</f>
        <v>521</v>
      </c>
      <c r="J21" s="1041">
        <v>19214</v>
      </c>
      <c r="K21" s="1041">
        <v>42870</v>
      </c>
      <c r="L21" s="1041">
        <v>37036</v>
      </c>
      <c r="M21" s="1041">
        <v>26544</v>
      </c>
      <c r="N21" s="1041">
        <v>12531</v>
      </c>
      <c r="O21" s="1041">
        <v>5340</v>
      </c>
      <c r="P21" s="1041">
        <v>2585</v>
      </c>
      <c r="Q21" s="1041">
        <v>3537</v>
      </c>
      <c r="R21" s="1041">
        <v>2885</v>
      </c>
      <c r="S21" s="1041">
        <v>3945</v>
      </c>
      <c r="T21" s="1041">
        <v>10410</v>
      </c>
      <c r="U21" s="1041">
        <v>50137</v>
      </c>
      <c r="V21" s="1041">
        <v>59756</v>
      </c>
      <c r="W21" s="1041">
        <v>14857</v>
      </c>
      <c r="X21" s="1042">
        <v>2327</v>
      </c>
      <c r="Y21" s="1042">
        <v>4851</v>
      </c>
      <c r="Z21" s="1043">
        <f t="shared" si="1"/>
        <v>299346</v>
      </c>
      <c r="AA21" s="1045"/>
      <c r="AB21" s="1046"/>
      <c r="AC21" s="1046"/>
      <c r="AD21" s="1046"/>
      <c r="AE21" s="1045"/>
      <c r="AF21" s="1047"/>
      <c r="AG21" s="1046"/>
      <c r="AH21" s="1046"/>
    </row>
    <row r="22" spans="1:34" s="878" customFormat="1" ht="14.25">
      <c r="A22" s="1037">
        <f t="shared" si="0"/>
        <v>13</v>
      </c>
      <c r="B22" s="1038" t="s">
        <v>288</v>
      </c>
      <c r="C22" s="1044"/>
      <c r="D22" s="1044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1"/>
      <c r="P22" s="1041"/>
      <c r="Q22" s="1041"/>
      <c r="R22" s="1041"/>
      <c r="S22" s="1041"/>
      <c r="T22" s="1041"/>
      <c r="U22" s="1041"/>
      <c r="V22" s="1041"/>
      <c r="W22" s="1041"/>
      <c r="X22" s="1042"/>
      <c r="Y22" s="1042">
        <v>58</v>
      </c>
      <c r="Z22" s="1043">
        <f t="shared" si="1"/>
        <v>58</v>
      </c>
      <c r="AA22" s="1045"/>
      <c r="AB22" s="1046"/>
      <c r="AC22" s="1046"/>
      <c r="AD22" s="1046"/>
      <c r="AE22" s="1045"/>
      <c r="AF22" s="1047"/>
      <c r="AG22" s="1046"/>
      <c r="AH22" s="1046"/>
    </row>
    <row r="23" spans="1:34" s="878" customFormat="1" ht="14.25">
      <c r="A23" s="1037">
        <f t="shared" si="0"/>
        <v>14</v>
      </c>
      <c r="B23" s="1038" t="s">
        <v>185</v>
      </c>
      <c r="C23" s="1044"/>
      <c r="D23" s="1044"/>
      <c r="E23" s="1041"/>
      <c r="F23" s="1041"/>
      <c r="G23" s="1041">
        <v>31478.89</v>
      </c>
      <c r="H23" s="1041">
        <f>7634.63</f>
        <v>7634.63</v>
      </c>
      <c r="I23" s="1041">
        <f>58480.46</f>
        <v>58480.46</v>
      </c>
      <c r="J23" s="1041">
        <v>113616.85</v>
      </c>
      <c r="K23" s="1041">
        <v>96149.62</v>
      </c>
      <c r="L23" s="1041">
        <v>119312.06</v>
      </c>
      <c r="M23" s="1041">
        <v>48150</v>
      </c>
      <c r="N23" s="1041">
        <v>111</v>
      </c>
      <c r="O23" s="1041">
        <v>4915</v>
      </c>
      <c r="P23" s="1041">
        <v>5278</v>
      </c>
      <c r="Q23" s="1041">
        <v>11866</v>
      </c>
      <c r="R23" s="1041">
        <v>24818</v>
      </c>
      <c r="S23" s="1041">
        <v>94821</v>
      </c>
      <c r="T23" s="1041">
        <v>23375</v>
      </c>
      <c r="U23" s="1041">
        <v>79556</v>
      </c>
      <c r="V23" s="1041">
        <v>60499</v>
      </c>
      <c r="W23" s="1041">
        <v>29495</v>
      </c>
      <c r="X23" s="1042">
        <v>30762</v>
      </c>
      <c r="Y23" s="1042">
        <v>61938</v>
      </c>
      <c r="Z23" s="1043">
        <f t="shared" si="1"/>
        <v>902256.51</v>
      </c>
      <c r="AA23" s="1045"/>
      <c r="AB23" s="1045"/>
      <c r="AC23" s="1045"/>
      <c r="AD23" s="1045"/>
      <c r="AE23" s="1045"/>
      <c r="AF23" s="1047"/>
      <c r="AG23" s="1046"/>
      <c r="AH23" s="1046"/>
    </row>
    <row r="24" spans="1:34" s="878" customFormat="1" ht="14.25">
      <c r="A24" s="1037">
        <f t="shared" si="0"/>
        <v>15</v>
      </c>
      <c r="B24" s="1038" t="s">
        <v>289</v>
      </c>
      <c r="C24" s="1044"/>
      <c r="D24" s="1044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  <c r="R24" s="1041"/>
      <c r="S24" s="1041"/>
      <c r="T24" s="1041"/>
      <c r="U24" s="1041"/>
      <c r="V24" s="1041"/>
      <c r="W24" s="1041"/>
      <c r="X24" s="1042"/>
      <c r="Y24" s="1042">
        <v>25696</v>
      </c>
      <c r="Z24" s="1043">
        <f t="shared" si="1"/>
        <v>25696</v>
      </c>
      <c r="AA24" s="1045"/>
      <c r="AB24" s="1045"/>
      <c r="AC24" s="1045"/>
      <c r="AD24" s="1045"/>
      <c r="AE24" s="1045"/>
      <c r="AF24" s="1047"/>
      <c r="AG24" s="1046"/>
      <c r="AH24" s="1046"/>
    </row>
    <row r="25" spans="1:34" s="878" customFormat="1" ht="14.25">
      <c r="A25" s="1037">
        <f t="shared" si="0"/>
        <v>16</v>
      </c>
      <c r="B25" s="1038" t="s">
        <v>290</v>
      </c>
      <c r="C25" s="1044"/>
      <c r="D25" s="1044"/>
      <c r="E25" s="1041"/>
      <c r="F25" s="1041"/>
      <c r="G25" s="1041"/>
      <c r="H25" s="1041"/>
      <c r="I25" s="1041"/>
      <c r="J25" s="1041"/>
      <c r="K25" s="1041"/>
      <c r="L25" s="1041"/>
      <c r="M25" s="1041"/>
      <c r="N25" s="1041"/>
      <c r="O25" s="1041"/>
      <c r="P25" s="1041"/>
      <c r="Q25" s="1041"/>
      <c r="R25" s="1041"/>
      <c r="S25" s="1041"/>
      <c r="T25" s="1041"/>
      <c r="U25" s="1041"/>
      <c r="V25" s="1041"/>
      <c r="W25" s="1041">
        <v>1349</v>
      </c>
      <c r="X25" s="1042">
        <v>96442</v>
      </c>
      <c r="Y25" s="1042">
        <v>750</v>
      </c>
      <c r="Z25" s="1043">
        <f t="shared" si="1"/>
        <v>98541</v>
      </c>
      <c r="AA25" s="1045"/>
      <c r="AB25" s="1045"/>
      <c r="AC25" s="1045"/>
      <c r="AD25" s="1045"/>
      <c r="AE25" s="1045"/>
      <c r="AF25" s="1047"/>
      <c r="AG25" s="1046"/>
      <c r="AH25" s="1046"/>
    </row>
    <row r="26" spans="1:34" s="878" customFormat="1" ht="14.25">
      <c r="A26" s="1037">
        <f t="shared" si="0"/>
        <v>17</v>
      </c>
      <c r="B26" s="1038" t="s">
        <v>186</v>
      </c>
      <c r="C26" s="1044"/>
      <c r="D26" s="1044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1">
        <v>1873</v>
      </c>
      <c r="U26" s="1041">
        <v>2389</v>
      </c>
      <c r="V26" s="1041">
        <v>1062</v>
      </c>
      <c r="W26" s="1041">
        <v>744</v>
      </c>
      <c r="X26" s="1042">
        <v>13714</v>
      </c>
      <c r="Y26" s="1042">
        <v>2451</v>
      </c>
      <c r="Z26" s="1043">
        <f t="shared" si="1"/>
        <v>22233</v>
      </c>
      <c r="AA26" s="1045"/>
      <c r="AB26" s="1045"/>
      <c r="AC26" s="1045"/>
      <c r="AD26" s="1046"/>
      <c r="AE26" s="1046"/>
      <c r="AF26" s="1047"/>
      <c r="AG26" s="1046"/>
      <c r="AH26" s="1046"/>
    </row>
    <row r="27" spans="1:34" s="878" customFormat="1" ht="14.25">
      <c r="A27" s="1037">
        <f t="shared" si="0"/>
        <v>18</v>
      </c>
      <c r="B27" s="1038" t="s">
        <v>187</v>
      </c>
      <c r="C27" s="1044"/>
      <c r="D27" s="1044"/>
      <c r="E27" s="1041"/>
      <c r="F27" s="1041"/>
      <c r="G27" s="1041"/>
      <c r="H27" s="1041"/>
      <c r="I27" s="1041"/>
      <c r="J27" s="1038"/>
      <c r="K27" s="1038">
        <v>160</v>
      </c>
      <c r="L27" s="1038">
        <v>352</v>
      </c>
      <c r="M27" s="1041">
        <v>1255</v>
      </c>
      <c r="N27" s="1041">
        <v>50.1</v>
      </c>
      <c r="O27" s="1041"/>
      <c r="P27" s="1041"/>
      <c r="Q27" s="1041"/>
      <c r="R27" s="1041"/>
      <c r="S27" s="1041"/>
      <c r="T27" s="1041"/>
      <c r="U27" s="1041"/>
      <c r="V27" s="1041"/>
      <c r="W27" s="1041">
        <v>0</v>
      </c>
      <c r="X27" s="1042">
        <v>0</v>
      </c>
      <c r="Y27" s="1042">
        <v>0</v>
      </c>
      <c r="Z27" s="1043">
        <f t="shared" si="1"/>
        <v>1817.1</v>
      </c>
      <c r="AA27" s="1045"/>
      <c r="AB27" s="1045"/>
      <c r="AC27" s="1045"/>
      <c r="AD27" s="1046"/>
      <c r="AE27" s="1046"/>
      <c r="AF27" s="1047"/>
      <c r="AG27" s="1046"/>
      <c r="AH27" s="1046"/>
    </row>
    <row r="28" spans="1:34" s="878" customFormat="1" ht="14.25">
      <c r="A28" s="1037">
        <f t="shared" si="0"/>
        <v>19</v>
      </c>
      <c r="B28" s="1038" t="s">
        <v>188</v>
      </c>
      <c r="C28" s="1044"/>
      <c r="D28" s="1044"/>
      <c r="E28" s="1041"/>
      <c r="F28" s="1041"/>
      <c r="G28" s="1041"/>
      <c r="H28" s="1041"/>
      <c r="I28" s="1041">
        <v>50</v>
      </c>
      <c r="J28" s="1038">
        <v>196</v>
      </c>
      <c r="K28" s="1038">
        <v>281</v>
      </c>
      <c r="L28" s="1041">
        <v>104</v>
      </c>
      <c r="M28" s="1041">
        <v>388</v>
      </c>
      <c r="N28" s="1041">
        <v>0</v>
      </c>
      <c r="O28" s="1041"/>
      <c r="P28" s="1041"/>
      <c r="Q28" s="1041"/>
      <c r="R28" s="1041"/>
      <c r="S28" s="1041">
        <v>597</v>
      </c>
      <c r="T28" s="1041">
        <v>71</v>
      </c>
      <c r="U28" s="1041">
        <v>2690</v>
      </c>
      <c r="V28" s="1041">
        <v>851</v>
      </c>
      <c r="W28" s="1041">
        <v>0</v>
      </c>
      <c r="X28" s="1042">
        <v>0</v>
      </c>
      <c r="Y28" s="1042">
        <v>0</v>
      </c>
      <c r="Z28" s="1043">
        <f t="shared" si="1"/>
        <v>5228</v>
      </c>
      <c r="AA28" s="1045"/>
      <c r="AB28" s="1045"/>
      <c r="AC28" s="1045"/>
      <c r="AD28" s="1046"/>
      <c r="AE28" s="1046"/>
      <c r="AF28" s="1047"/>
      <c r="AG28" s="1046"/>
      <c r="AH28" s="1046"/>
    </row>
    <row r="29" spans="1:34" s="878" customFormat="1" ht="14.25">
      <c r="A29" s="1037">
        <f t="shared" si="0"/>
        <v>20</v>
      </c>
      <c r="B29" s="1038" t="s">
        <v>189</v>
      </c>
      <c r="C29" s="1044"/>
      <c r="D29" s="1044"/>
      <c r="E29" s="1041"/>
      <c r="F29" s="1041"/>
      <c r="G29" s="1041"/>
      <c r="H29" s="1041"/>
      <c r="I29" s="1041"/>
      <c r="J29" s="1038"/>
      <c r="K29" s="1038"/>
      <c r="L29" s="1041"/>
      <c r="M29" s="1041"/>
      <c r="N29" s="1041"/>
      <c r="O29" s="1041"/>
      <c r="P29" s="1041"/>
      <c r="Q29" s="1041"/>
      <c r="R29" s="1041"/>
      <c r="S29" s="1041">
        <v>630</v>
      </c>
      <c r="T29" s="1041"/>
      <c r="U29" s="1041">
        <v>3331</v>
      </c>
      <c r="V29" s="1041">
        <v>1593</v>
      </c>
      <c r="W29" s="1041">
        <v>24698</v>
      </c>
      <c r="X29" s="1042">
        <v>150365</v>
      </c>
      <c r="Y29" s="1042">
        <v>127994</v>
      </c>
      <c r="Z29" s="1043">
        <f t="shared" si="1"/>
        <v>308611</v>
      </c>
      <c r="AA29" s="1045"/>
      <c r="AB29" s="1045"/>
      <c r="AC29" s="1045"/>
      <c r="AD29" s="1046"/>
      <c r="AE29" s="1046"/>
      <c r="AF29" s="1047"/>
      <c r="AG29" s="1046"/>
      <c r="AH29" s="1046"/>
    </row>
    <row r="30" spans="1:34" s="878" customFormat="1" ht="14.25">
      <c r="A30" s="1037">
        <f t="shared" si="0"/>
        <v>21</v>
      </c>
      <c r="B30" s="1038" t="s">
        <v>291</v>
      </c>
      <c r="C30" s="1044"/>
      <c r="D30" s="1044"/>
      <c r="E30" s="1041"/>
      <c r="F30" s="1041"/>
      <c r="G30" s="1041"/>
      <c r="H30" s="1041"/>
      <c r="I30" s="1041"/>
      <c r="J30" s="1038"/>
      <c r="K30" s="1038"/>
      <c r="L30" s="1041"/>
      <c r="M30" s="1041"/>
      <c r="N30" s="1041"/>
      <c r="O30" s="1041"/>
      <c r="P30" s="1041"/>
      <c r="Q30" s="1041"/>
      <c r="R30" s="1041"/>
      <c r="S30" s="1041"/>
      <c r="T30" s="1041"/>
      <c r="U30" s="1041"/>
      <c r="V30" s="1041"/>
      <c r="W30" s="1041"/>
      <c r="X30" s="1042"/>
      <c r="Y30" s="1042">
        <v>472406</v>
      </c>
      <c r="Z30" s="1043">
        <f t="shared" si="1"/>
        <v>472406</v>
      </c>
      <c r="AA30" s="1045"/>
      <c r="AB30" s="1045"/>
      <c r="AC30" s="1045"/>
      <c r="AD30" s="1046"/>
      <c r="AE30" s="1046"/>
      <c r="AF30" s="1047"/>
      <c r="AG30" s="1046"/>
      <c r="AH30" s="1046"/>
    </row>
    <row r="31" spans="1:34" s="878" customFormat="1" ht="14.25">
      <c r="A31" s="1037">
        <f t="shared" si="0"/>
        <v>22</v>
      </c>
      <c r="B31" s="1038" t="s">
        <v>190</v>
      </c>
      <c r="C31" s="1044"/>
      <c r="D31" s="1044"/>
      <c r="E31" s="1041"/>
      <c r="F31" s="1041"/>
      <c r="G31" s="1041"/>
      <c r="H31" s="1041"/>
      <c r="I31" s="1041"/>
      <c r="J31" s="1041"/>
      <c r="K31" s="1041"/>
      <c r="L31" s="1041"/>
      <c r="M31" s="1041"/>
      <c r="N31" s="1041">
        <v>2965</v>
      </c>
      <c r="O31" s="1041">
        <v>1275</v>
      </c>
      <c r="P31" s="1041"/>
      <c r="Q31" s="1041">
        <v>180</v>
      </c>
      <c r="R31" s="1041">
        <v>220</v>
      </c>
      <c r="S31" s="1041">
        <v>260</v>
      </c>
      <c r="T31" s="1041"/>
      <c r="U31" s="1041"/>
      <c r="V31" s="1041"/>
      <c r="W31" s="1041">
        <v>0</v>
      </c>
      <c r="X31" s="1042">
        <v>0</v>
      </c>
      <c r="Y31" s="1042">
        <v>0</v>
      </c>
      <c r="Z31" s="1043">
        <f t="shared" si="1"/>
        <v>4900</v>
      </c>
      <c r="AA31" s="1045"/>
      <c r="AB31" s="1045"/>
      <c r="AC31" s="1045"/>
      <c r="AD31" s="1046"/>
      <c r="AE31" s="1046"/>
      <c r="AF31" s="1047"/>
      <c r="AG31" s="1046"/>
      <c r="AH31" s="1046"/>
    </row>
    <row r="32" spans="1:34" s="878" customFormat="1" ht="14.25">
      <c r="A32" s="1037">
        <f t="shared" si="0"/>
        <v>23</v>
      </c>
      <c r="B32" s="1038" t="s">
        <v>191</v>
      </c>
      <c r="C32" s="1044"/>
      <c r="D32" s="1044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T32" s="1041">
        <v>7149</v>
      </c>
      <c r="U32" s="1041">
        <v>4291</v>
      </c>
      <c r="V32" s="1041"/>
      <c r="W32" s="1041">
        <v>0</v>
      </c>
      <c r="X32" s="1042">
        <v>0</v>
      </c>
      <c r="Y32" s="1042">
        <v>0</v>
      </c>
      <c r="Z32" s="1043">
        <f t="shared" si="1"/>
        <v>11440</v>
      </c>
      <c r="AA32" s="1045"/>
      <c r="AB32" s="1045"/>
      <c r="AC32" s="1045"/>
      <c r="AD32" s="1046"/>
      <c r="AE32" s="1046"/>
      <c r="AF32" s="1047"/>
      <c r="AG32" s="1046"/>
      <c r="AH32" s="1046"/>
    </row>
    <row r="33" spans="1:34" s="878" customFormat="1" ht="14.25">
      <c r="A33" s="1037">
        <f t="shared" si="0"/>
        <v>24</v>
      </c>
      <c r="B33" s="1038" t="s">
        <v>192</v>
      </c>
      <c r="C33" s="1044"/>
      <c r="D33" s="1044"/>
      <c r="E33" s="1041"/>
      <c r="F33" s="1041"/>
      <c r="G33" s="1041"/>
      <c r="H33" s="1041"/>
      <c r="I33" s="1041"/>
      <c r="J33" s="1041"/>
      <c r="K33" s="1041"/>
      <c r="L33" s="1041"/>
      <c r="M33" s="1041"/>
      <c r="N33" s="1041"/>
      <c r="O33" s="1041"/>
      <c r="P33" s="1041"/>
      <c r="Q33" s="1041"/>
      <c r="R33" s="1041"/>
      <c r="S33" s="1041"/>
      <c r="T33" s="1041">
        <v>1000</v>
      </c>
      <c r="U33" s="1041">
        <v>400</v>
      </c>
      <c r="V33" s="1041">
        <v>86</v>
      </c>
      <c r="W33" s="1041">
        <v>0</v>
      </c>
      <c r="X33" s="1042">
        <v>492.7</v>
      </c>
      <c r="Y33" s="1042">
        <v>0</v>
      </c>
      <c r="Z33" s="1043">
        <f t="shared" si="1"/>
        <v>1978.7</v>
      </c>
      <c r="AA33" s="1045"/>
      <c r="AB33" s="1045"/>
      <c r="AC33" s="1045"/>
      <c r="AD33" s="1045"/>
      <c r="AE33" s="1046"/>
      <c r="AF33" s="1047"/>
      <c r="AG33" s="1046"/>
      <c r="AH33" s="1046"/>
    </row>
    <row r="34" spans="1:34" s="878" customFormat="1" ht="14.25">
      <c r="A34" s="1037">
        <f t="shared" si="0"/>
        <v>25</v>
      </c>
      <c r="B34" s="1038" t="s">
        <v>193</v>
      </c>
      <c r="C34" s="1044"/>
      <c r="D34" s="1044"/>
      <c r="E34" s="1041"/>
      <c r="F34" s="1041"/>
      <c r="G34" s="1041"/>
      <c r="H34" s="1041"/>
      <c r="I34" s="1041">
        <v>38550</v>
      </c>
      <c r="J34" s="1041">
        <v>47228</v>
      </c>
      <c r="K34" s="1041">
        <v>34264</v>
      </c>
      <c r="L34" s="1041">
        <v>6884</v>
      </c>
      <c r="M34" s="1041">
        <v>150</v>
      </c>
      <c r="N34" s="1041">
        <v>238</v>
      </c>
      <c r="O34" s="1041">
        <v>184</v>
      </c>
      <c r="P34" s="1041">
        <v>152</v>
      </c>
      <c r="Q34" s="1041">
        <v>30775</v>
      </c>
      <c r="R34" s="1041">
        <v>90228</v>
      </c>
      <c r="S34" s="1041">
        <v>14062</v>
      </c>
      <c r="T34" s="1041"/>
      <c r="U34" s="1041"/>
      <c r="V34" s="1041"/>
      <c r="W34" s="1041">
        <v>0</v>
      </c>
      <c r="X34" s="1042">
        <v>0</v>
      </c>
      <c r="Y34" s="1042">
        <v>0</v>
      </c>
      <c r="Z34" s="1043">
        <f t="shared" si="1"/>
        <v>262715</v>
      </c>
      <c r="AA34" s="1045"/>
      <c r="AB34" s="1045"/>
      <c r="AC34" s="1045"/>
      <c r="AD34" s="1045"/>
      <c r="AE34" s="1045"/>
      <c r="AF34" s="1046"/>
      <c r="AG34" s="1046"/>
      <c r="AH34" s="1046"/>
    </row>
    <row r="35" spans="1:34" s="878" customFormat="1" ht="14.25">
      <c r="A35" s="1037">
        <f t="shared" si="0"/>
        <v>26</v>
      </c>
      <c r="B35" s="1038" t="s">
        <v>194</v>
      </c>
      <c r="C35" s="1044"/>
      <c r="D35" s="1044"/>
      <c r="E35" s="1041"/>
      <c r="F35" s="1041"/>
      <c r="G35" s="1041"/>
      <c r="H35" s="1041"/>
      <c r="I35" s="1041">
        <f>6</f>
        <v>6</v>
      </c>
      <c r="J35" s="1038">
        <v>469</v>
      </c>
      <c r="K35" s="1041">
        <v>34617</v>
      </c>
      <c r="L35" s="1041">
        <v>2336</v>
      </c>
      <c r="M35" s="1041">
        <v>7763</v>
      </c>
      <c r="N35" s="1041">
        <v>1342</v>
      </c>
      <c r="O35" s="1041">
        <v>916</v>
      </c>
      <c r="P35" s="1041">
        <v>640</v>
      </c>
      <c r="Q35" s="1041">
        <v>4602</v>
      </c>
      <c r="R35" s="1041">
        <v>6105</v>
      </c>
      <c r="S35" s="1041">
        <v>8225</v>
      </c>
      <c r="T35" s="1041">
        <v>6774</v>
      </c>
      <c r="U35" s="1041">
        <v>1474</v>
      </c>
      <c r="V35" s="1041">
        <v>5769</v>
      </c>
      <c r="W35" s="1041">
        <v>1141</v>
      </c>
      <c r="X35" s="1042">
        <v>56940.7</v>
      </c>
      <c r="Y35" s="1042">
        <v>48533</v>
      </c>
      <c r="Z35" s="1043">
        <f t="shared" si="1"/>
        <v>187652.7</v>
      </c>
      <c r="AA35" s="1045"/>
      <c r="AB35" s="1046"/>
      <c r="AC35" s="1046"/>
      <c r="AD35" s="1046"/>
      <c r="AE35" s="1046"/>
      <c r="AF35" s="1047"/>
      <c r="AG35" s="1046"/>
      <c r="AH35" s="1046"/>
    </row>
    <row r="36" spans="1:34" s="878" customFormat="1" ht="14.25">
      <c r="A36" s="1037">
        <f t="shared" si="0"/>
        <v>27</v>
      </c>
      <c r="B36" s="1038" t="s">
        <v>195</v>
      </c>
      <c r="C36" s="1044"/>
      <c r="D36" s="1044"/>
      <c r="E36" s="1041"/>
      <c r="F36" s="1041"/>
      <c r="G36" s="1041"/>
      <c r="H36" s="1041"/>
      <c r="I36" s="1041"/>
      <c r="J36" s="1038"/>
      <c r="K36" s="1038"/>
      <c r="L36" s="1038"/>
      <c r="M36" s="1041"/>
      <c r="N36" s="1041"/>
      <c r="O36" s="1041"/>
      <c r="P36" s="1041"/>
      <c r="Q36" s="1041"/>
      <c r="R36" s="1041"/>
      <c r="S36" s="1041"/>
      <c r="T36" s="1041"/>
      <c r="U36" s="1041"/>
      <c r="V36" s="1041">
        <v>5929</v>
      </c>
      <c r="W36" s="1041">
        <v>37867</v>
      </c>
      <c r="X36" s="1042">
        <v>2616</v>
      </c>
      <c r="Y36" s="1042">
        <v>992</v>
      </c>
      <c r="Z36" s="1043">
        <f t="shared" si="1"/>
        <v>47404</v>
      </c>
      <c r="AA36" s="1045"/>
      <c r="AB36" s="1046"/>
      <c r="AC36" s="1045"/>
      <c r="AD36" s="1045"/>
      <c r="AE36" s="1046"/>
      <c r="AF36" s="1047"/>
      <c r="AG36" s="1046"/>
      <c r="AH36" s="1046"/>
    </row>
    <row r="37" spans="1:34" s="878" customFormat="1" ht="14.25">
      <c r="A37" s="1037">
        <f t="shared" si="0"/>
        <v>28</v>
      </c>
      <c r="B37" s="1048" t="s">
        <v>196</v>
      </c>
      <c r="C37" s="1044"/>
      <c r="D37" s="1044"/>
      <c r="E37" s="1041"/>
      <c r="F37" s="1041"/>
      <c r="G37" s="1041"/>
      <c r="H37" s="1041"/>
      <c r="I37" s="1041"/>
      <c r="J37" s="1041"/>
      <c r="K37" s="1041">
        <v>792</v>
      </c>
      <c r="L37" s="1041">
        <v>25.5</v>
      </c>
      <c r="M37" s="1041">
        <v>23</v>
      </c>
      <c r="N37" s="1041"/>
      <c r="O37" s="1041"/>
      <c r="P37" s="1041"/>
      <c r="Q37" s="1041"/>
      <c r="R37" s="1041"/>
      <c r="S37" s="1041"/>
      <c r="T37" s="1041"/>
      <c r="U37" s="1041"/>
      <c r="V37" s="1041"/>
      <c r="W37" s="1041">
        <v>0</v>
      </c>
      <c r="X37" s="1042"/>
      <c r="Y37" s="1042">
        <v>0</v>
      </c>
      <c r="Z37" s="1043">
        <f t="shared" si="1"/>
        <v>840.5</v>
      </c>
      <c r="AA37" s="1045"/>
      <c r="AB37" s="1046"/>
      <c r="AC37" s="1045"/>
      <c r="AD37" s="1045"/>
      <c r="AE37" s="1046"/>
      <c r="AF37" s="1047"/>
      <c r="AG37" s="1046"/>
      <c r="AH37" s="1046"/>
    </row>
    <row r="38" spans="1:34" s="878" customFormat="1" ht="14.25">
      <c r="A38" s="1037">
        <f t="shared" si="0"/>
        <v>29</v>
      </c>
      <c r="B38" s="1038" t="s">
        <v>197</v>
      </c>
      <c r="C38" s="1044"/>
      <c r="D38" s="1044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2">
        <v>718</v>
      </c>
      <c r="Y38" s="1042">
        <v>776</v>
      </c>
      <c r="Z38" s="1043">
        <f t="shared" si="1"/>
        <v>1494</v>
      </c>
      <c r="AA38" s="1045"/>
      <c r="AB38" s="1045"/>
      <c r="AC38" s="1045"/>
      <c r="AD38" s="1045"/>
      <c r="AE38" s="1045"/>
      <c r="AF38" s="1046"/>
      <c r="AG38" s="1046"/>
      <c r="AH38" s="1046"/>
    </row>
    <row r="39" spans="1:34" s="878" customFormat="1" ht="14.25">
      <c r="A39" s="1037">
        <f t="shared" si="0"/>
        <v>30</v>
      </c>
      <c r="B39" s="1038" t="s">
        <v>198</v>
      </c>
      <c r="C39" s="1044"/>
      <c r="D39" s="1044"/>
      <c r="E39" s="1041"/>
      <c r="F39" s="1041"/>
      <c r="G39" s="1041"/>
      <c r="H39" s="1041"/>
      <c r="I39" s="1041"/>
      <c r="J39" s="1041">
        <v>32416.105</v>
      </c>
      <c r="K39" s="1041">
        <v>37156.508</v>
      </c>
      <c r="L39" s="1041">
        <v>104710.859</v>
      </c>
      <c r="M39" s="1041">
        <v>86324</v>
      </c>
      <c r="N39" s="1041">
        <v>970</v>
      </c>
      <c r="O39" s="1041">
        <v>5090</v>
      </c>
      <c r="P39" s="1041">
        <v>2433</v>
      </c>
      <c r="Q39" s="1041">
        <v>34608</v>
      </c>
      <c r="R39" s="1041">
        <v>11653</v>
      </c>
      <c r="S39" s="1041">
        <v>56770</v>
      </c>
      <c r="T39" s="1041">
        <v>78712</v>
      </c>
      <c r="U39" s="1041">
        <v>69851</v>
      </c>
      <c r="V39" s="1041">
        <v>33109</v>
      </c>
      <c r="W39" s="1041">
        <v>88781</v>
      </c>
      <c r="X39" s="1042">
        <v>270138</v>
      </c>
      <c r="Y39" s="1042">
        <v>490574</v>
      </c>
      <c r="Z39" s="1043">
        <f t="shared" si="1"/>
        <v>1403296.472</v>
      </c>
      <c r="AA39" s="1045"/>
      <c r="AB39" s="1045"/>
      <c r="AC39" s="1046"/>
      <c r="AD39" s="1045"/>
      <c r="AE39" s="1045"/>
      <c r="AF39" s="1047"/>
      <c r="AG39" s="1046"/>
      <c r="AH39" s="1046"/>
    </row>
    <row r="40" spans="1:34" s="878" customFormat="1" ht="14.25">
      <c r="A40" s="1037"/>
      <c r="B40" s="1038" t="s">
        <v>292</v>
      </c>
      <c r="C40" s="1044"/>
      <c r="D40" s="1044"/>
      <c r="E40" s="1041"/>
      <c r="F40" s="1041"/>
      <c r="G40" s="1041"/>
      <c r="H40" s="1041"/>
      <c r="I40" s="1041"/>
      <c r="J40" s="1041"/>
      <c r="K40" s="1041"/>
      <c r="L40" s="1041"/>
      <c r="M40" s="1041"/>
      <c r="N40" s="1041"/>
      <c r="O40" s="1041"/>
      <c r="P40" s="1041"/>
      <c r="Q40" s="1041"/>
      <c r="R40" s="1041"/>
      <c r="S40" s="1041"/>
      <c r="T40" s="1041"/>
      <c r="U40" s="1041"/>
      <c r="V40" s="1041"/>
      <c r="W40" s="1041"/>
      <c r="X40" s="1042"/>
      <c r="Y40" s="1042">
        <v>941</v>
      </c>
      <c r="Z40" s="1043">
        <f t="shared" si="1"/>
        <v>941</v>
      </c>
      <c r="AA40" s="1045"/>
      <c r="AB40" s="1045"/>
      <c r="AC40" s="1046"/>
      <c r="AD40" s="1045"/>
      <c r="AE40" s="1045"/>
      <c r="AF40" s="1047"/>
      <c r="AG40" s="1046"/>
      <c r="AH40" s="1046"/>
    </row>
    <row r="41" spans="1:34" s="878" customFormat="1" ht="14.25">
      <c r="A41" s="1037">
        <f>+A39+1</f>
        <v>31</v>
      </c>
      <c r="B41" s="1038" t="s">
        <v>199</v>
      </c>
      <c r="C41" s="1044"/>
      <c r="D41" s="1044"/>
      <c r="E41" s="1041"/>
      <c r="F41" s="1041"/>
      <c r="G41" s="1041"/>
      <c r="H41" s="1041"/>
      <c r="I41" s="1041"/>
      <c r="J41" s="1038"/>
      <c r="K41" s="1038"/>
      <c r="L41" s="1041"/>
      <c r="M41" s="1041"/>
      <c r="N41" s="1041"/>
      <c r="O41" s="1041"/>
      <c r="P41" s="1041"/>
      <c r="Q41" s="1041"/>
      <c r="R41" s="1041"/>
      <c r="S41" s="1041"/>
      <c r="T41" s="1041"/>
      <c r="U41" s="1041"/>
      <c r="V41" s="1041">
        <v>7483</v>
      </c>
      <c r="W41" s="1041">
        <v>33759</v>
      </c>
      <c r="X41" s="1042">
        <v>328925</v>
      </c>
      <c r="Y41" s="1042">
        <v>195512</v>
      </c>
      <c r="Z41" s="1043">
        <f t="shared" si="1"/>
        <v>565679</v>
      </c>
      <c r="AA41" s="1045"/>
      <c r="AB41" s="1045"/>
      <c r="AC41" s="1046"/>
      <c r="AD41" s="1045"/>
      <c r="AE41" s="1045"/>
      <c r="AF41" s="1047"/>
      <c r="AG41" s="1046"/>
      <c r="AH41" s="1046"/>
    </row>
    <row r="42" spans="1:34" s="878" customFormat="1" ht="14.25">
      <c r="A42" s="1037">
        <f t="shared" si="0"/>
        <v>32</v>
      </c>
      <c r="B42" s="1038" t="s">
        <v>200</v>
      </c>
      <c r="C42" s="1044"/>
      <c r="D42" s="1044"/>
      <c r="E42" s="1041"/>
      <c r="F42" s="1041"/>
      <c r="G42" s="1041"/>
      <c r="H42" s="1041"/>
      <c r="I42" s="1041"/>
      <c r="J42" s="1038"/>
      <c r="K42" s="1038"/>
      <c r="L42" s="1038">
        <v>0</v>
      </c>
      <c r="M42" s="1041"/>
      <c r="N42" s="1041"/>
      <c r="O42" s="1041"/>
      <c r="P42" s="1041"/>
      <c r="Q42" s="1041"/>
      <c r="R42" s="1041"/>
      <c r="S42" s="1041"/>
      <c r="T42" s="1041"/>
      <c r="U42" s="1041"/>
      <c r="V42" s="1041">
        <v>1246</v>
      </c>
      <c r="W42" s="1041">
        <v>4106</v>
      </c>
      <c r="X42" s="1042"/>
      <c r="Y42" s="1042">
        <v>0</v>
      </c>
      <c r="Z42" s="1043">
        <f t="shared" si="1"/>
        <v>5352</v>
      </c>
      <c r="AA42" s="1045"/>
      <c r="AB42" s="1045"/>
      <c r="AC42" s="1046"/>
      <c r="AD42" s="1045"/>
      <c r="AE42" s="1045"/>
      <c r="AF42" s="1046"/>
      <c r="AG42" s="1046"/>
      <c r="AH42" s="1046"/>
    </row>
    <row r="43" spans="1:34" s="878" customFormat="1" ht="14.25">
      <c r="A43" s="1037">
        <f t="shared" si="0"/>
        <v>33</v>
      </c>
      <c r="B43" s="1038" t="s">
        <v>201</v>
      </c>
      <c r="C43" s="1044"/>
      <c r="D43" s="1044"/>
      <c r="E43" s="1041"/>
      <c r="F43" s="1041"/>
      <c r="G43" s="1041"/>
      <c r="H43" s="1041"/>
      <c r="I43" s="1041"/>
      <c r="J43" s="1041"/>
      <c r="K43" s="1041"/>
      <c r="L43" s="1041"/>
      <c r="M43" s="1041"/>
      <c r="N43" s="1041"/>
      <c r="O43" s="1041"/>
      <c r="P43" s="1041"/>
      <c r="Q43" s="1041"/>
      <c r="R43" s="1041"/>
      <c r="S43" s="1041"/>
      <c r="T43" s="1041"/>
      <c r="U43" s="1041"/>
      <c r="V43" s="1041"/>
      <c r="W43" s="1041">
        <v>9650</v>
      </c>
      <c r="X43" s="1042">
        <v>6479.3</v>
      </c>
      <c r="Y43" s="1042">
        <v>4542</v>
      </c>
      <c r="Z43" s="1043">
        <f t="shared" si="1"/>
        <v>20671.3</v>
      </c>
      <c r="AA43" s="1045"/>
      <c r="AB43" s="1045"/>
      <c r="AC43" s="1045"/>
      <c r="AD43" s="1046"/>
      <c r="AE43" s="1046"/>
      <c r="AF43" s="1047"/>
      <c r="AG43" s="1046"/>
      <c r="AH43" s="1046"/>
    </row>
    <row r="44" spans="1:34" s="878" customFormat="1" ht="14.25">
      <c r="A44" s="1037">
        <f t="shared" si="0"/>
        <v>34</v>
      </c>
      <c r="B44" s="1038" t="s">
        <v>202</v>
      </c>
      <c r="C44" s="1044"/>
      <c r="D44" s="1044"/>
      <c r="E44" s="1041"/>
      <c r="F44" s="1041"/>
      <c r="G44" s="1041"/>
      <c r="H44" s="1041"/>
      <c r="I44" s="1041"/>
      <c r="J44" s="1038"/>
      <c r="K44" s="1038"/>
      <c r="L44" s="1041"/>
      <c r="M44" s="1041"/>
      <c r="N44" s="1041"/>
      <c r="O44" s="1041"/>
      <c r="P44" s="1041"/>
      <c r="Q44" s="1041"/>
      <c r="R44" s="1041"/>
      <c r="S44" s="1041">
        <v>48894</v>
      </c>
      <c r="T44" s="1041">
        <v>16022</v>
      </c>
      <c r="U44" s="1041"/>
      <c r="V44" s="1041"/>
      <c r="W44" s="1041">
        <v>0</v>
      </c>
      <c r="X44" s="1042"/>
      <c r="Y44" s="1239" t="s">
        <v>113</v>
      </c>
      <c r="Z44" s="1043">
        <f t="shared" si="1"/>
        <v>64916</v>
      </c>
      <c r="AA44" s="1045"/>
      <c r="AB44" s="1045"/>
      <c r="AC44" s="1045"/>
      <c r="AD44" s="1046"/>
      <c r="AE44" s="1046"/>
      <c r="AF44" s="1047"/>
      <c r="AG44" s="1046"/>
      <c r="AH44" s="1046"/>
    </row>
    <row r="45" spans="1:34" s="878" customFormat="1" ht="14.25">
      <c r="A45" s="1037">
        <f t="shared" si="0"/>
        <v>35</v>
      </c>
      <c r="B45" s="1038" t="s">
        <v>203</v>
      </c>
      <c r="C45" s="1044"/>
      <c r="D45" s="1044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  <c r="T45" s="1041"/>
      <c r="U45" s="1041"/>
      <c r="V45" s="1041"/>
      <c r="W45" s="1041"/>
      <c r="X45" s="1042">
        <v>716</v>
      </c>
      <c r="Y45" s="1042">
        <v>0</v>
      </c>
      <c r="Z45" s="1043">
        <f t="shared" si="1"/>
        <v>716</v>
      </c>
      <c r="AA45" s="1045"/>
      <c r="AB45" s="1045"/>
      <c r="AC45" s="1045"/>
      <c r="AD45" s="1046"/>
      <c r="AE45" s="1046"/>
      <c r="AF45" s="1046"/>
      <c r="AG45" s="1046"/>
      <c r="AH45" s="1046"/>
    </row>
    <row r="46" spans="1:61" s="878" customFormat="1" ht="14.25">
      <c r="A46" s="1037">
        <f t="shared" si="0"/>
        <v>36</v>
      </c>
      <c r="B46" s="1038" t="s">
        <v>204</v>
      </c>
      <c r="C46" s="1044"/>
      <c r="D46" s="1044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  <c r="T46" s="1041"/>
      <c r="U46" s="1041"/>
      <c r="V46" s="1041"/>
      <c r="W46" s="1041"/>
      <c r="X46" s="1042">
        <v>739</v>
      </c>
      <c r="Y46" s="1042">
        <v>0</v>
      </c>
      <c r="Z46" s="1043">
        <f t="shared" si="1"/>
        <v>739</v>
      </c>
      <c r="AA46" s="1045"/>
      <c r="AB46" s="1045"/>
      <c r="AC46" s="1045"/>
      <c r="AD46" s="1045"/>
      <c r="AE46" s="1046"/>
      <c r="AF46" s="1045"/>
      <c r="AG46" s="1045"/>
      <c r="AH46" s="1045"/>
      <c r="AJ46" s="1049"/>
      <c r="AK46" s="1050"/>
      <c r="AL46" s="1050"/>
      <c r="AM46" s="1050"/>
      <c r="AN46" s="1050"/>
      <c r="AO46" s="1050"/>
      <c r="AP46" s="1050"/>
      <c r="AQ46" s="1050"/>
      <c r="AR46" s="1050"/>
      <c r="AS46" s="1050"/>
      <c r="AT46" s="1050"/>
      <c r="AU46" s="1050"/>
      <c r="AV46" s="1050"/>
      <c r="AW46" s="1050"/>
      <c r="AX46" s="1050"/>
      <c r="AY46" s="1050"/>
      <c r="AZ46" s="1050"/>
      <c r="BA46" s="1050"/>
      <c r="BB46" s="1050"/>
      <c r="BC46" s="1050"/>
      <c r="BD46" s="1050"/>
      <c r="BE46" s="1050"/>
      <c r="BF46" s="1050"/>
      <c r="BG46" s="1050"/>
      <c r="BH46" s="1050"/>
      <c r="BI46" s="1050"/>
    </row>
    <row r="47" spans="1:61" s="878" customFormat="1" ht="14.25">
      <c r="A47" s="1037"/>
      <c r="B47" s="1038" t="s">
        <v>293</v>
      </c>
      <c r="C47" s="1044"/>
      <c r="D47" s="1044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1"/>
      <c r="U47" s="1041"/>
      <c r="V47" s="1041"/>
      <c r="W47" s="1041"/>
      <c r="X47" s="1042"/>
      <c r="Y47" s="1042">
        <v>844</v>
      </c>
      <c r="Z47" s="1043">
        <f t="shared" si="1"/>
        <v>844</v>
      </c>
      <c r="AA47" s="1045"/>
      <c r="AB47" s="1045"/>
      <c r="AC47" s="1045"/>
      <c r="AD47" s="1045"/>
      <c r="AE47" s="1046"/>
      <c r="AF47" s="1045"/>
      <c r="AG47" s="1045"/>
      <c r="AH47" s="1045"/>
      <c r="AJ47" s="1045"/>
      <c r="AK47" s="1045"/>
      <c r="AL47" s="1045"/>
      <c r="AM47" s="1045"/>
      <c r="AN47" s="1045"/>
      <c r="AO47" s="1045"/>
      <c r="AP47" s="1045"/>
      <c r="AQ47" s="1045"/>
      <c r="AR47" s="1045"/>
      <c r="AS47" s="1045"/>
      <c r="AT47" s="1045"/>
      <c r="AU47" s="1045"/>
      <c r="AV47" s="1045"/>
      <c r="AW47" s="1045"/>
      <c r="AX47" s="1045"/>
      <c r="AY47" s="1045"/>
      <c r="AZ47" s="1045"/>
      <c r="BA47" s="1045"/>
      <c r="BB47" s="1045"/>
      <c r="BC47" s="1045"/>
      <c r="BD47" s="1045"/>
      <c r="BE47" s="1045"/>
      <c r="BF47" s="1045"/>
      <c r="BG47" s="1045"/>
      <c r="BH47" s="1045"/>
      <c r="BI47" s="1045"/>
    </row>
    <row r="48" spans="1:61" s="878" customFormat="1" ht="14.25">
      <c r="A48" s="1037">
        <f>+A46+1</f>
        <v>37</v>
      </c>
      <c r="B48" s="1038" t="s">
        <v>205</v>
      </c>
      <c r="C48" s="1044"/>
      <c r="D48" s="1044"/>
      <c r="E48" s="1041"/>
      <c r="F48" s="1041"/>
      <c r="G48" s="1041"/>
      <c r="H48" s="1041"/>
      <c r="I48" s="1041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41"/>
      <c r="U48" s="1041"/>
      <c r="V48" s="1041"/>
      <c r="W48" s="1041">
        <v>9027</v>
      </c>
      <c r="X48" s="1042">
        <v>19567</v>
      </c>
      <c r="Y48" s="1042">
        <v>6547.36045</v>
      </c>
      <c r="Z48" s="1043">
        <f t="shared" si="1"/>
        <v>35141.36045</v>
      </c>
      <c r="AA48" s="1045"/>
      <c r="AB48" s="1045"/>
      <c r="AC48" s="1045"/>
      <c r="AD48" s="1045"/>
      <c r="AE48" s="1046"/>
      <c r="AF48" s="1051"/>
      <c r="AG48" s="1045"/>
      <c r="AH48" s="1045"/>
      <c r="AJ48" s="1045"/>
      <c r="AK48" s="1045"/>
      <c r="AL48" s="1045"/>
      <c r="AM48" s="1045"/>
      <c r="AN48" s="1045"/>
      <c r="AO48" s="1045"/>
      <c r="AP48" s="1045"/>
      <c r="AQ48" s="1045"/>
      <c r="AR48" s="1045"/>
      <c r="AS48" s="1045"/>
      <c r="AT48" s="1045"/>
      <c r="AU48" s="1045"/>
      <c r="AV48" s="1045"/>
      <c r="AW48" s="1045"/>
      <c r="AX48" s="1045"/>
      <c r="AY48" s="1045"/>
      <c r="AZ48" s="1045"/>
      <c r="BA48" s="1045"/>
      <c r="BB48" s="1045"/>
      <c r="BC48" s="1045"/>
      <c r="BD48" s="1045"/>
      <c r="BE48" s="1045"/>
      <c r="BF48" s="1045"/>
      <c r="BG48" s="1045"/>
      <c r="BH48" s="1045"/>
      <c r="BI48" s="1045"/>
    </row>
    <row r="49" spans="1:61" s="878" customFormat="1" ht="14.25">
      <c r="A49" s="1037">
        <f t="shared" si="0"/>
        <v>38</v>
      </c>
      <c r="B49" s="1038" t="s">
        <v>206</v>
      </c>
      <c r="C49" s="1044"/>
      <c r="D49" s="1044"/>
      <c r="E49" s="1041"/>
      <c r="F49" s="1041"/>
      <c r="G49" s="1041"/>
      <c r="H49" s="1041"/>
      <c r="I49" s="1041"/>
      <c r="J49" s="1041"/>
      <c r="K49" s="1041">
        <v>156</v>
      </c>
      <c r="L49" s="1041">
        <v>244</v>
      </c>
      <c r="M49" s="1041">
        <v>300</v>
      </c>
      <c r="N49" s="1041"/>
      <c r="O49" s="1041"/>
      <c r="P49" s="1041"/>
      <c r="Q49" s="1041"/>
      <c r="R49" s="1041"/>
      <c r="S49" s="1041"/>
      <c r="T49" s="1041"/>
      <c r="U49" s="1041"/>
      <c r="V49" s="1041"/>
      <c r="W49" s="1041">
        <v>0</v>
      </c>
      <c r="X49" s="1042"/>
      <c r="Y49" s="1042">
        <v>0</v>
      </c>
      <c r="Z49" s="1043">
        <f t="shared" si="1"/>
        <v>700</v>
      </c>
      <c r="AA49" s="1045"/>
      <c r="AB49" s="1045"/>
      <c r="AC49" s="1045"/>
      <c r="AD49" s="1045"/>
      <c r="AE49" s="1046"/>
      <c r="AF49" s="1045"/>
      <c r="AG49" s="1045"/>
      <c r="AH49" s="1045"/>
      <c r="AJ49" s="1045"/>
      <c r="AK49" s="1045"/>
      <c r="AL49" s="1045"/>
      <c r="AM49" s="1045"/>
      <c r="AN49" s="1045"/>
      <c r="AO49" s="1045"/>
      <c r="AP49" s="1045"/>
      <c r="AQ49" s="1045"/>
      <c r="AR49" s="1045"/>
      <c r="AS49" s="1045"/>
      <c r="AT49" s="1045"/>
      <c r="AU49" s="1045"/>
      <c r="AV49" s="1045"/>
      <c r="AW49" s="1045"/>
      <c r="AX49" s="1045"/>
      <c r="AY49" s="1045"/>
      <c r="AZ49" s="1045"/>
      <c r="BA49" s="1045"/>
      <c r="BB49" s="1045"/>
      <c r="BC49" s="1045"/>
      <c r="BD49" s="1045"/>
      <c r="BE49" s="1045"/>
      <c r="BF49" s="1045"/>
      <c r="BG49" s="1045"/>
      <c r="BH49" s="1045"/>
      <c r="BI49" s="1045"/>
    </row>
    <row r="50" spans="1:61" s="878" customFormat="1" ht="14.25">
      <c r="A50" s="1037"/>
      <c r="B50" s="1038" t="s">
        <v>294</v>
      </c>
      <c r="C50" s="1044"/>
      <c r="D50" s="1044"/>
      <c r="E50" s="1041"/>
      <c r="F50" s="1041"/>
      <c r="G50" s="1041"/>
      <c r="H50" s="1041"/>
      <c r="I50" s="1041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1"/>
      <c r="U50" s="1041"/>
      <c r="V50" s="1041"/>
      <c r="W50" s="1041"/>
      <c r="X50" s="1042"/>
      <c r="Y50" s="1042">
        <v>28</v>
      </c>
      <c r="Z50" s="1043">
        <f t="shared" si="1"/>
        <v>28</v>
      </c>
      <c r="AA50" s="1045"/>
      <c r="AB50" s="1045"/>
      <c r="AC50" s="1045"/>
      <c r="AD50" s="1045"/>
      <c r="AE50" s="1046"/>
      <c r="AF50" s="1045"/>
      <c r="AG50" s="1045"/>
      <c r="AH50" s="1045"/>
      <c r="AJ50" s="1045"/>
      <c r="AK50" s="1045"/>
      <c r="AL50" s="1045"/>
      <c r="AM50" s="1045"/>
      <c r="AN50" s="1045"/>
      <c r="AO50" s="1045"/>
      <c r="AP50" s="1045"/>
      <c r="AQ50" s="1045"/>
      <c r="AR50" s="1045"/>
      <c r="AS50" s="1045"/>
      <c r="AT50" s="1045"/>
      <c r="AU50" s="1045"/>
      <c r="AV50" s="1045"/>
      <c r="AW50" s="1045"/>
      <c r="AX50" s="1045"/>
      <c r="AY50" s="1045"/>
      <c r="AZ50" s="1045"/>
      <c r="BA50" s="1045"/>
      <c r="BB50" s="1045"/>
      <c r="BC50" s="1045"/>
      <c r="BD50" s="1045"/>
      <c r="BE50" s="1045"/>
      <c r="BF50" s="1045"/>
      <c r="BG50" s="1045"/>
      <c r="BH50" s="1045"/>
      <c r="BI50" s="1045"/>
    </row>
    <row r="51" spans="1:61" s="878" customFormat="1" ht="14.25">
      <c r="A51" s="1037">
        <f>+A49+1</f>
        <v>39</v>
      </c>
      <c r="B51" s="1038" t="s">
        <v>207</v>
      </c>
      <c r="C51" s="1044"/>
      <c r="D51" s="1044"/>
      <c r="E51" s="1041"/>
      <c r="F51" s="1041"/>
      <c r="G51" s="1041"/>
      <c r="H51" s="1041"/>
      <c r="I51" s="1041"/>
      <c r="J51" s="1038"/>
      <c r="K51" s="1038"/>
      <c r="L51" s="1038"/>
      <c r="M51" s="1041"/>
      <c r="N51" s="1041"/>
      <c r="O51" s="1041"/>
      <c r="P51" s="1041"/>
      <c r="Q51" s="1041"/>
      <c r="R51" s="1041"/>
      <c r="S51" s="1041"/>
      <c r="T51" s="1041"/>
      <c r="U51" s="1041">
        <v>103037</v>
      </c>
      <c r="V51" s="1041">
        <v>91026</v>
      </c>
      <c r="W51" s="1041">
        <v>76529</v>
      </c>
      <c r="X51" s="1042">
        <v>197258</v>
      </c>
      <c r="Y51" s="1042">
        <v>59670</v>
      </c>
      <c r="Z51" s="1043">
        <f t="shared" si="1"/>
        <v>527520</v>
      </c>
      <c r="AA51" s="1045"/>
      <c r="AB51" s="1045"/>
      <c r="AC51" s="1045"/>
      <c r="AD51" s="1045"/>
      <c r="AE51" s="1046"/>
      <c r="AF51" s="1051"/>
      <c r="AG51" s="1045"/>
      <c r="AH51" s="1045"/>
      <c r="AJ51" s="1045"/>
      <c r="AK51" s="1045"/>
      <c r="AL51" s="1045"/>
      <c r="AM51" s="1045"/>
      <c r="AN51" s="1045"/>
      <c r="AO51" s="1045"/>
      <c r="AP51" s="1045"/>
      <c r="AQ51" s="1045"/>
      <c r="AR51" s="1045"/>
      <c r="AS51" s="1045"/>
      <c r="AT51" s="1045"/>
      <c r="AU51" s="1045"/>
      <c r="AV51" s="1045"/>
      <c r="AW51" s="1045"/>
      <c r="AX51" s="1045"/>
      <c r="AY51" s="1045"/>
      <c r="AZ51" s="1045"/>
      <c r="BA51" s="1045"/>
      <c r="BB51" s="1045"/>
      <c r="BC51" s="1045"/>
      <c r="BD51" s="1045"/>
      <c r="BE51" s="1045"/>
      <c r="BF51" s="1045"/>
      <c r="BG51" s="1045"/>
      <c r="BH51" s="1045"/>
      <c r="BI51" s="1045"/>
    </row>
    <row r="52" spans="1:61" s="878" customFormat="1" ht="14.25">
      <c r="A52" s="1037">
        <f t="shared" si="0"/>
        <v>40</v>
      </c>
      <c r="B52" s="1038" t="s">
        <v>208</v>
      </c>
      <c r="C52" s="1044"/>
      <c r="D52" s="1044"/>
      <c r="E52" s="1041"/>
      <c r="F52" s="1041"/>
      <c r="G52" s="1041"/>
      <c r="H52" s="1041"/>
      <c r="I52" s="1041"/>
      <c r="J52" s="1041"/>
      <c r="K52" s="1041"/>
      <c r="L52" s="1041"/>
      <c r="M52" s="1041"/>
      <c r="N52" s="1041"/>
      <c r="O52" s="1041"/>
      <c r="P52" s="1041"/>
      <c r="Q52" s="1041"/>
      <c r="R52" s="1041"/>
      <c r="S52" s="1041"/>
      <c r="T52" s="1041">
        <v>237</v>
      </c>
      <c r="U52" s="1041">
        <v>197</v>
      </c>
      <c r="V52" s="1041">
        <v>548</v>
      </c>
      <c r="W52" s="1041">
        <v>292</v>
      </c>
      <c r="X52" s="1042">
        <v>228</v>
      </c>
      <c r="Y52" s="1042">
        <v>1057</v>
      </c>
      <c r="Z52" s="1043">
        <f t="shared" si="1"/>
        <v>2559</v>
      </c>
      <c r="AA52" s="1045"/>
      <c r="AB52" s="1045"/>
      <c r="AC52" s="1045"/>
      <c r="AD52" s="1045"/>
      <c r="AE52" s="1046"/>
      <c r="AF52" s="1051"/>
      <c r="AG52" s="1045"/>
      <c r="AH52" s="1045"/>
      <c r="AJ52" s="1045"/>
      <c r="AK52" s="1045"/>
      <c r="AL52" s="1045"/>
      <c r="AM52" s="1045"/>
      <c r="AN52" s="1045"/>
      <c r="AO52" s="1045"/>
      <c r="AP52" s="1045"/>
      <c r="AQ52" s="1045"/>
      <c r="AR52" s="1045"/>
      <c r="AS52" s="1045"/>
      <c r="AT52" s="1045"/>
      <c r="AU52" s="1045"/>
      <c r="AV52" s="1045"/>
      <c r="AW52" s="1045"/>
      <c r="AX52" s="1045"/>
      <c r="AY52" s="1045"/>
      <c r="AZ52" s="1045"/>
      <c r="BA52" s="1045"/>
      <c r="BB52" s="1045"/>
      <c r="BC52" s="1045"/>
      <c r="BD52" s="1045"/>
      <c r="BE52" s="1045"/>
      <c r="BF52" s="1045"/>
      <c r="BG52" s="1045"/>
      <c r="BH52" s="1045"/>
      <c r="BI52" s="1045"/>
    </row>
    <row r="53" spans="1:61" s="878" customFormat="1" ht="14.25">
      <c r="A53" s="1037">
        <f t="shared" si="0"/>
        <v>41</v>
      </c>
      <c r="B53" s="1038" t="s">
        <v>209</v>
      </c>
      <c r="C53" s="1044"/>
      <c r="D53" s="1044"/>
      <c r="E53" s="1041"/>
      <c r="F53" s="1041"/>
      <c r="G53" s="1041"/>
      <c r="H53" s="1041"/>
      <c r="I53" s="1041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>
        <v>120</v>
      </c>
      <c r="T53" s="1041">
        <v>515</v>
      </c>
      <c r="U53" s="1041">
        <v>578</v>
      </c>
      <c r="V53" s="1041">
        <v>1156</v>
      </c>
      <c r="W53" s="1041">
        <v>0</v>
      </c>
      <c r="X53" s="1042"/>
      <c r="Y53" s="1042">
        <v>0</v>
      </c>
      <c r="Z53" s="1043">
        <f t="shared" si="1"/>
        <v>2369</v>
      </c>
      <c r="AA53" s="1045"/>
      <c r="AB53" s="1045"/>
      <c r="AC53" s="1045"/>
      <c r="AD53" s="1045"/>
      <c r="AE53" s="1046"/>
      <c r="AF53" s="1051"/>
      <c r="AG53" s="1045"/>
      <c r="AH53" s="1045"/>
      <c r="AJ53" s="1045"/>
      <c r="AK53" s="1045"/>
      <c r="AL53" s="1045"/>
      <c r="AM53" s="1045"/>
      <c r="AN53" s="1045"/>
      <c r="AO53" s="1045"/>
      <c r="AP53" s="1045"/>
      <c r="AQ53" s="1045"/>
      <c r="AR53" s="1045"/>
      <c r="AS53" s="1045"/>
      <c r="AT53" s="1045"/>
      <c r="AU53" s="1045"/>
      <c r="AV53" s="1045"/>
      <c r="AW53" s="1045"/>
      <c r="AX53" s="1045"/>
      <c r="AY53" s="1045"/>
      <c r="AZ53" s="1045"/>
      <c r="BA53" s="1045"/>
      <c r="BB53" s="1045"/>
      <c r="BC53" s="1045"/>
      <c r="BD53" s="1045"/>
      <c r="BE53" s="1045"/>
      <c r="BF53" s="1045"/>
      <c r="BG53" s="1045"/>
      <c r="BH53" s="1045"/>
      <c r="BI53" s="1045"/>
    </row>
    <row r="54" spans="1:61" s="878" customFormat="1" ht="14.25">
      <c r="A54" s="1037">
        <f t="shared" si="0"/>
        <v>42</v>
      </c>
      <c r="B54" s="1038" t="s">
        <v>210</v>
      </c>
      <c r="C54" s="1044"/>
      <c r="D54" s="1044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1">
        <v>155000</v>
      </c>
      <c r="X54" s="1042">
        <v>2532.7</v>
      </c>
      <c r="Y54" s="1042">
        <v>0</v>
      </c>
      <c r="Z54" s="1043">
        <f t="shared" si="1"/>
        <v>157532.7</v>
      </c>
      <c r="AA54" s="1045"/>
      <c r="AB54" s="1045"/>
      <c r="AC54" s="1045"/>
      <c r="AD54" s="1045"/>
      <c r="AE54" s="1046"/>
      <c r="AF54" s="1045"/>
      <c r="AG54" s="1045"/>
      <c r="AH54" s="1045"/>
      <c r="AJ54" s="1045"/>
      <c r="AK54" s="1045"/>
      <c r="AL54" s="1045"/>
      <c r="AM54" s="1045"/>
      <c r="AN54" s="1045"/>
      <c r="AO54" s="1045"/>
      <c r="AP54" s="1045"/>
      <c r="AQ54" s="1045"/>
      <c r="AR54" s="1045"/>
      <c r="AS54" s="1045"/>
      <c r="AT54" s="1045"/>
      <c r="AU54" s="1045"/>
      <c r="AV54" s="1045"/>
      <c r="AW54" s="1045"/>
      <c r="AX54" s="1045"/>
      <c r="AY54" s="1045"/>
      <c r="AZ54" s="1045"/>
      <c r="BA54" s="1045"/>
      <c r="BB54" s="1045"/>
      <c r="BC54" s="1045"/>
      <c r="BD54" s="1045"/>
      <c r="BE54" s="1045"/>
      <c r="BF54" s="1045"/>
      <c r="BG54" s="1045"/>
      <c r="BH54" s="1045"/>
      <c r="BI54" s="1045"/>
    </row>
    <row r="55" spans="1:61" s="878" customFormat="1" ht="14.25">
      <c r="A55" s="1037">
        <f t="shared" si="0"/>
        <v>43</v>
      </c>
      <c r="B55" s="1038" t="s">
        <v>211</v>
      </c>
      <c r="C55" s="1044"/>
      <c r="D55" s="1044"/>
      <c r="E55" s="1041"/>
      <c r="F55" s="1041"/>
      <c r="G55" s="1041"/>
      <c r="H55" s="1041"/>
      <c r="I55" s="1041"/>
      <c r="J55" s="1041"/>
      <c r="K55" s="1041"/>
      <c r="L55" s="1041"/>
      <c r="M55" s="1041"/>
      <c r="N55" s="1041"/>
      <c r="O55" s="1041"/>
      <c r="P55" s="1041"/>
      <c r="Q55" s="1041"/>
      <c r="R55" s="1041"/>
      <c r="S55" s="1041"/>
      <c r="T55" s="1041"/>
      <c r="U55" s="1041"/>
      <c r="V55" s="1041"/>
      <c r="W55" s="1041">
        <v>708</v>
      </c>
      <c r="X55" s="1042">
        <v>5490</v>
      </c>
      <c r="Y55" s="1042">
        <v>0</v>
      </c>
      <c r="Z55" s="1043">
        <f t="shared" si="1"/>
        <v>6198</v>
      </c>
      <c r="AA55" s="1045"/>
      <c r="AB55" s="1045"/>
      <c r="AC55" s="1045"/>
      <c r="AD55" s="1045"/>
      <c r="AE55" s="1046"/>
      <c r="AF55" s="1045"/>
      <c r="AG55" s="1045"/>
      <c r="AH55" s="1045"/>
      <c r="AJ55" s="1045"/>
      <c r="AK55" s="1045"/>
      <c r="AL55" s="1045"/>
      <c r="AM55" s="1045"/>
      <c r="AN55" s="1045"/>
      <c r="AO55" s="1045"/>
      <c r="AP55" s="1045"/>
      <c r="AQ55" s="1045"/>
      <c r="AR55" s="1045"/>
      <c r="AS55" s="1045"/>
      <c r="AT55" s="1045"/>
      <c r="AU55" s="1045"/>
      <c r="AV55" s="1045"/>
      <c r="AW55" s="1045"/>
      <c r="AX55" s="1045"/>
      <c r="AY55" s="1045"/>
      <c r="AZ55" s="1045"/>
      <c r="BA55" s="1045"/>
      <c r="BB55" s="1045"/>
      <c r="BC55" s="1045"/>
      <c r="BD55" s="1045"/>
      <c r="BE55" s="1045"/>
      <c r="BF55" s="1045"/>
      <c r="BG55" s="1045"/>
      <c r="BH55" s="1045"/>
      <c r="BI55" s="1045"/>
    </row>
    <row r="56" spans="1:61" s="878" customFormat="1" ht="14.25">
      <c r="A56" s="1037">
        <f t="shared" si="0"/>
        <v>44</v>
      </c>
      <c r="B56" s="1038" t="s">
        <v>212</v>
      </c>
      <c r="C56" s="1044"/>
      <c r="D56" s="1044"/>
      <c r="E56" s="1041"/>
      <c r="F56" s="1041"/>
      <c r="G56" s="1041"/>
      <c r="H56" s="1041"/>
      <c r="I56" s="1041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41"/>
      <c r="U56" s="1041"/>
      <c r="V56" s="1041"/>
      <c r="W56" s="1041">
        <v>5446</v>
      </c>
      <c r="X56" s="1042"/>
      <c r="Y56" s="1042">
        <v>0</v>
      </c>
      <c r="Z56" s="1043">
        <f t="shared" si="1"/>
        <v>5446</v>
      </c>
      <c r="AA56" s="1045"/>
      <c r="AB56" s="1045"/>
      <c r="AC56" s="1045"/>
      <c r="AD56" s="1045"/>
      <c r="AE56" s="1046"/>
      <c r="AF56" s="1045"/>
      <c r="AG56" s="1045"/>
      <c r="AH56" s="1045"/>
      <c r="AJ56" s="1045"/>
      <c r="AK56" s="1045"/>
      <c r="AL56" s="1045"/>
      <c r="AM56" s="1045"/>
      <c r="AN56" s="1045"/>
      <c r="AO56" s="1045"/>
      <c r="AP56" s="1045"/>
      <c r="AQ56" s="1045"/>
      <c r="AR56" s="1045"/>
      <c r="AS56" s="1045"/>
      <c r="AT56" s="1045"/>
      <c r="AU56" s="1045"/>
      <c r="AV56" s="1045"/>
      <c r="AW56" s="1045"/>
      <c r="AX56" s="1045"/>
      <c r="AY56" s="1045"/>
      <c r="AZ56" s="1045"/>
      <c r="BA56" s="1045"/>
      <c r="BB56" s="1045"/>
      <c r="BC56" s="1045"/>
      <c r="BD56" s="1045"/>
      <c r="BE56" s="1045"/>
      <c r="BF56" s="1045"/>
      <c r="BG56" s="1045"/>
      <c r="BH56" s="1045"/>
      <c r="BI56" s="1045"/>
    </row>
    <row r="57" spans="1:61" s="878" customFormat="1" ht="14.25">
      <c r="A57" s="1037">
        <f t="shared" si="0"/>
        <v>45</v>
      </c>
      <c r="B57" s="1038" t="s">
        <v>213</v>
      </c>
      <c r="C57" s="1044"/>
      <c r="D57" s="1044"/>
      <c r="E57" s="1041"/>
      <c r="F57" s="1041"/>
      <c r="G57" s="1041"/>
      <c r="H57" s="1041"/>
      <c r="I57" s="1041"/>
      <c r="J57" s="1041"/>
      <c r="K57" s="1041"/>
      <c r="L57" s="1041"/>
      <c r="M57" s="1041"/>
      <c r="N57" s="1041"/>
      <c r="O57" s="1041"/>
      <c r="P57" s="1041"/>
      <c r="Q57" s="1041"/>
      <c r="R57" s="1041"/>
      <c r="S57" s="1041"/>
      <c r="T57" s="1041"/>
      <c r="U57" s="1041"/>
      <c r="V57" s="1041"/>
      <c r="W57" s="1041">
        <v>6420</v>
      </c>
      <c r="X57" s="1042"/>
      <c r="Y57" s="1042">
        <v>0</v>
      </c>
      <c r="Z57" s="1043">
        <f t="shared" si="1"/>
        <v>6420</v>
      </c>
      <c r="AA57" s="1045"/>
      <c r="AB57" s="1045"/>
      <c r="AC57" s="1045"/>
      <c r="AD57" s="1045"/>
      <c r="AE57" s="1046"/>
      <c r="AF57" s="1045"/>
      <c r="AG57" s="1045"/>
      <c r="AH57" s="1045"/>
      <c r="AJ57" s="1045"/>
      <c r="AK57" s="1045"/>
      <c r="AL57" s="1045"/>
      <c r="AM57" s="1045"/>
      <c r="AN57" s="1045"/>
      <c r="AO57" s="1045"/>
      <c r="AP57" s="1045"/>
      <c r="AQ57" s="1045"/>
      <c r="AR57" s="1045"/>
      <c r="AS57" s="1045"/>
      <c r="AT57" s="1045"/>
      <c r="AU57" s="1045"/>
      <c r="AV57" s="1045"/>
      <c r="AW57" s="1045"/>
      <c r="AX57" s="1045"/>
      <c r="AY57" s="1045"/>
      <c r="AZ57" s="1045"/>
      <c r="BA57" s="1045"/>
      <c r="BB57" s="1045"/>
      <c r="BC57" s="1045"/>
      <c r="BD57" s="1045"/>
      <c r="BE57" s="1045"/>
      <c r="BF57" s="1045"/>
      <c r="BG57" s="1045"/>
      <c r="BH57" s="1045"/>
      <c r="BI57" s="1045"/>
    </row>
    <row r="58" spans="1:61" s="878" customFormat="1" ht="14.25">
      <c r="A58" s="1037">
        <f t="shared" si="0"/>
        <v>46</v>
      </c>
      <c r="B58" s="1038" t="s">
        <v>214</v>
      </c>
      <c r="C58" s="1044"/>
      <c r="D58" s="1044"/>
      <c r="E58" s="1041"/>
      <c r="F58" s="1041"/>
      <c r="G58" s="1041"/>
      <c r="H58" s="1041"/>
      <c r="I58" s="1041"/>
      <c r="J58" s="1041"/>
      <c r="K58" s="1041"/>
      <c r="L58" s="1041"/>
      <c r="M58" s="1041"/>
      <c r="N58" s="1041"/>
      <c r="O58" s="1041"/>
      <c r="P58" s="1041"/>
      <c r="Q58" s="1041"/>
      <c r="R58" s="1041"/>
      <c r="S58" s="1041"/>
      <c r="T58" s="1041"/>
      <c r="U58" s="1041"/>
      <c r="V58" s="1041"/>
      <c r="W58" s="1041">
        <v>2000</v>
      </c>
      <c r="X58" s="1042"/>
      <c r="Y58" s="1042">
        <v>0</v>
      </c>
      <c r="Z58" s="1043">
        <f t="shared" si="1"/>
        <v>2000</v>
      </c>
      <c r="AA58" s="1045"/>
      <c r="AB58" s="1045"/>
      <c r="AC58" s="1045"/>
      <c r="AD58" s="1045"/>
      <c r="AE58" s="1046"/>
      <c r="AF58" s="1045"/>
      <c r="AG58" s="1045"/>
      <c r="AH58" s="1045"/>
      <c r="AJ58" s="1045"/>
      <c r="AK58" s="1045"/>
      <c r="AL58" s="1045"/>
      <c r="AM58" s="1045"/>
      <c r="AN58" s="1045"/>
      <c r="AO58" s="1045"/>
      <c r="AP58" s="1045"/>
      <c r="AQ58" s="1045"/>
      <c r="AR58" s="1045"/>
      <c r="AS58" s="1045"/>
      <c r="AT58" s="1045"/>
      <c r="AU58" s="1045"/>
      <c r="AV58" s="1045"/>
      <c r="AW58" s="1045"/>
      <c r="AX58" s="1045"/>
      <c r="AY58" s="1045"/>
      <c r="AZ58" s="1045"/>
      <c r="BA58" s="1045"/>
      <c r="BB58" s="1045"/>
      <c r="BC58" s="1045"/>
      <c r="BD58" s="1045"/>
      <c r="BE58" s="1045"/>
      <c r="BF58" s="1045"/>
      <c r="BG58" s="1045"/>
      <c r="BH58" s="1045"/>
      <c r="BI58" s="1045"/>
    </row>
    <row r="59" spans="1:61" s="878" customFormat="1" ht="14.25">
      <c r="A59" s="1037">
        <f t="shared" si="0"/>
        <v>47</v>
      </c>
      <c r="B59" s="1038" t="s">
        <v>215</v>
      </c>
      <c r="C59" s="1044"/>
      <c r="D59" s="1044"/>
      <c r="E59" s="1041"/>
      <c r="F59" s="1041"/>
      <c r="G59" s="1041"/>
      <c r="H59" s="1041"/>
      <c r="I59" s="1041"/>
      <c r="J59" s="1041"/>
      <c r="K59" s="1041"/>
      <c r="L59" s="1041"/>
      <c r="M59" s="1041"/>
      <c r="N59" s="1041"/>
      <c r="O59" s="1041"/>
      <c r="P59" s="1041"/>
      <c r="Q59" s="1041"/>
      <c r="R59" s="1041"/>
      <c r="S59" s="1041"/>
      <c r="T59" s="1041"/>
      <c r="U59" s="1041"/>
      <c r="V59" s="1041"/>
      <c r="W59" s="1041">
        <v>7709</v>
      </c>
      <c r="X59" s="1042"/>
      <c r="Y59" s="1042">
        <v>0</v>
      </c>
      <c r="Z59" s="1043">
        <f t="shared" si="1"/>
        <v>7709</v>
      </c>
      <c r="AA59" s="1045"/>
      <c r="AB59" s="1045"/>
      <c r="AC59" s="1045"/>
      <c r="AD59" s="1045"/>
      <c r="AE59" s="1046"/>
      <c r="AF59" s="1045"/>
      <c r="AG59" s="1045"/>
      <c r="AH59" s="1045"/>
      <c r="AJ59" s="1045"/>
      <c r="AK59" s="1045"/>
      <c r="AL59" s="1045"/>
      <c r="AM59" s="1045"/>
      <c r="AN59" s="1045"/>
      <c r="AO59" s="1045"/>
      <c r="AP59" s="1045"/>
      <c r="AQ59" s="1045"/>
      <c r="AR59" s="1045"/>
      <c r="AS59" s="1045"/>
      <c r="AT59" s="1045"/>
      <c r="AU59" s="1045"/>
      <c r="AV59" s="1045"/>
      <c r="AW59" s="1045"/>
      <c r="AX59" s="1045"/>
      <c r="AY59" s="1045"/>
      <c r="AZ59" s="1045"/>
      <c r="BA59" s="1045"/>
      <c r="BB59" s="1045"/>
      <c r="BC59" s="1045"/>
      <c r="BD59" s="1045"/>
      <c r="BE59" s="1045"/>
      <c r="BF59" s="1045"/>
      <c r="BG59" s="1045"/>
      <c r="BH59" s="1045"/>
      <c r="BI59" s="1045"/>
    </row>
    <row r="60" spans="1:61" s="878" customFormat="1" ht="14.25">
      <c r="A60" s="1037">
        <f t="shared" si="0"/>
        <v>48</v>
      </c>
      <c r="B60" s="1038" t="s">
        <v>216</v>
      </c>
      <c r="C60" s="1044"/>
      <c r="D60" s="1044"/>
      <c r="E60" s="1041"/>
      <c r="F60" s="1041"/>
      <c r="G60" s="1041"/>
      <c r="H60" s="1041"/>
      <c r="I60" s="1041"/>
      <c r="J60" s="1041"/>
      <c r="K60" s="1041"/>
      <c r="L60" s="1041"/>
      <c r="M60" s="1041"/>
      <c r="N60" s="1041"/>
      <c r="O60" s="1041"/>
      <c r="P60" s="1041"/>
      <c r="Q60" s="1041"/>
      <c r="R60" s="1041"/>
      <c r="S60" s="1041"/>
      <c r="T60" s="1041"/>
      <c r="U60" s="1041"/>
      <c r="V60" s="1041"/>
      <c r="W60" s="1041">
        <v>0</v>
      </c>
      <c r="X60" s="1042">
        <v>1192.7752</v>
      </c>
      <c r="Y60" s="1042">
        <v>0</v>
      </c>
      <c r="Z60" s="1043">
        <f t="shared" si="1"/>
        <v>1192.7752</v>
      </c>
      <c r="AA60" s="1045"/>
      <c r="AB60" s="1045"/>
      <c r="AC60" s="1045"/>
      <c r="AD60" s="1045"/>
      <c r="AE60" s="1046"/>
      <c r="AF60" s="1045"/>
      <c r="AG60" s="1045"/>
      <c r="AH60" s="1045"/>
      <c r="AJ60" s="1045"/>
      <c r="AK60" s="1045"/>
      <c r="AL60" s="1045"/>
      <c r="AM60" s="1045"/>
      <c r="AN60" s="1045"/>
      <c r="AO60" s="1045"/>
      <c r="AP60" s="1045"/>
      <c r="AQ60" s="1045"/>
      <c r="AR60" s="1045"/>
      <c r="AS60" s="1045"/>
      <c r="AT60" s="1045"/>
      <c r="AU60" s="1045"/>
      <c r="AV60" s="1045"/>
      <c r="AW60" s="1045"/>
      <c r="AX60" s="1045"/>
      <c r="AY60" s="1045"/>
      <c r="AZ60" s="1045"/>
      <c r="BA60" s="1045"/>
      <c r="BB60" s="1045"/>
      <c r="BC60" s="1045"/>
      <c r="BD60" s="1045"/>
      <c r="BE60" s="1045"/>
      <c r="BF60" s="1045"/>
      <c r="BG60" s="1045"/>
      <c r="BH60" s="1045"/>
      <c r="BI60" s="1045"/>
    </row>
    <row r="61" spans="1:61" s="878" customFormat="1" ht="14.25">
      <c r="A61" s="1037">
        <f t="shared" si="0"/>
        <v>49</v>
      </c>
      <c r="B61" s="1038" t="s">
        <v>217</v>
      </c>
      <c r="C61" s="1044"/>
      <c r="D61" s="1044"/>
      <c r="E61" s="1041"/>
      <c r="F61" s="1041"/>
      <c r="G61" s="1041"/>
      <c r="H61" s="1041"/>
      <c r="I61" s="1041"/>
      <c r="J61" s="1041"/>
      <c r="K61" s="1041"/>
      <c r="L61" s="1041"/>
      <c r="M61" s="1041">
        <v>894</v>
      </c>
      <c r="N61" s="1041">
        <v>1554</v>
      </c>
      <c r="O61" s="1041">
        <v>644</v>
      </c>
      <c r="P61" s="1041">
        <v>311</v>
      </c>
      <c r="Q61" s="1041">
        <v>538</v>
      </c>
      <c r="R61" s="1041">
        <v>427</v>
      </c>
      <c r="S61" s="1041">
        <v>1041</v>
      </c>
      <c r="T61" s="1041">
        <v>140</v>
      </c>
      <c r="U61" s="1041">
        <v>37</v>
      </c>
      <c r="V61" s="1041">
        <v>72</v>
      </c>
      <c r="W61" s="1041">
        <v>161</v>
      </c>
      <c r="X61" s="1042">
        <v>135</v>
      </c>
      <c r="Y61" s="1042">
        <v>101</v>
      </c>
      <c r="Z61" s="1043">
        <f t="shared" si="1"/>
        <v>6055</v>
      </c>
      <c r="AA61" s="1045"/>
      <c r="AB61" s="1045"/>
      <c r="AC61" s="1045"/>
      <c r="AD61" s="1045"/>
      <c r="AE61" s="1046"/>
      <c r="AF61" s="1045"/>
      <c r="AG61" s="1045"/>
      <c r="AH61" s="1045"/>
      <c r="AJ61" s="1045"/>
      <c r="AK61" s="1045"/>
      <c r="AL61" s="1045"/>
      <c r="AM61" s="1045"/>
      <c r="AN61" s="1045"/>
      <c r="AO61" s="1045"/>
      <c r="AP61" s="1045"/>
      <c r="AQ61" s="1045"/>
      <c r="AR61" s="1045"/>
      <c r="AS61" s="1045"/>
      <c r="AT61" s="1045"/>
      <c r="AU61" s="1045"/>
      <c r="AV61" s="1045"/>
      <c r="AW61" s="1045"/>
      <c r="AX61" s="1045"/>
      <c r="AY61" s="1045"/>
      <c r="AZ61" s="1045"/>
      <c r="BA61" s="1045"/>
      <c r="BB61" s="1045"/>
      <c r="BC61" s="1045"/>
      <c r="BD61" s="1045"/>
      <c r="BE61" s="1045"/>
      <c r="BF61" s="1045"/>
      <c r="BG61" s="1045"/>
      <c r="BH61" s="1045"/>
      <c r="BI61" s="1045"/>
    </row>
    <row r="62" spans="1:61" s="878" customFormat="1" ht="14.25">
      <c r="A62" s="1037">
        <f t="shared" si="0"/>
        <v>50</v>
      </c>
      <c r="B62" s="1038" t="s">
        <v>218</v>
      </c>
      <c r="C62" s="1044"/>
      <c r="D62" s="1044"/>
      <c r="E62" s="1041"/>
      <c r="F62" s="1041"/>
      <c r="G62" s="1041"/>
      <c r="H62" s="1041"/>
      <c r="I62" s="1041"/>
      <c r="J62" s="1041"/>
      <c r="K62" s="1041">
        <v>100</v>
      </c>
      <c r="L62" s="1041"/>
      <c r="M62" s="1041"/>
      <c r="N62" s="1041">
        <v>560</v>
      </c>
      <c r="O62" s="1041">
        <v>6696</v>
      </c>
      <c r="P62" s="1041">
        <v>5960</v>
      </c>
      <c r="Q62" s="1041">
        <v>987</v>
      </c>
      <c r="R62" s="1041"/>
      <c r="S62" s="1041">
        <v>207</v>
      </c>
      <c r="T62" s="1041">
        <v>1622</v>
      </c>
      <c r="U62" s="1041">
        <v>8403</v>
      </c>
      <c r="V62" s="1041">
        <v>11771</v>
      </c>
      <c r="W62" s="1041">
        <v>980</v>
      </c>
      <c r="X62" s="1042">
        <v>532</v>
      </c>
      <c r="Y62" s="1042">
        <v>761</v>
      </c>
      <c r="Z62" s="1043">
        <f t="shared" si="1"/>
        <v>38579</v>
      </c>
      <c r="AA62" s="1045"/>
      <c r="AB62" s="1045"/>
      <c r="AC62" s="1045"/>
      <c r="AD62" s="1045"/>
      <c r="AE62" s="1046"/>
      <c r="AF62" s="1045"/>
      <c r="AG62" s="1045"/>
      <c r="AH62" s="1045"/>
      <c r="AJ62" s="1045"/>
      <c r="AK62" s="1045"/>
      <c r="AL62" s="1045"/>
      <c r="AM62" s="1045"/>
      <c r="AN62" s="1045"/>
      <c r="AO62" s="1045"/>
      <c r="AP62" s="1045"/>
      <c r="AQ62" s="1045"/>
      <c r="AR62" s="1045"/>
      <c r="AS62" s="1045"/>
      <c r="AT62" s="1045"/>
      <c r="AU62" s="1045"/>
      <c r="AV62" s="1045"/>
      <c r="AW62" s="1045"/>
      <c r="AX62" s="1045"/>
      <c r="AY62" s="1045"/>
      <c r="AZ62" s="1045"/>
      <c r="BA62" s="1045"/>
      <c r="BB62" s="1045"/>
      <c r="BC62" s="1045"/>
      <c r="BD62" s="1045"/>
      <c r="BE62" s="1045"/>
      <c r="BF62" s="1045"/>
      <c r="BG62" s="1045"/>
      <c r="BH62" s="1045"/>
      <c r="BI62" s="1045"/>
    </row>
    <row r="63" spans="1:61" s="878" customFormat="1" ht="14.25">
      <c r="A63" s="1037">
        <f t="shared" si="0"/>
        <v>51</v>
      </c>
      <c r="B63" s="1038" t="s">
        <v>219</v>
      </c>
      <c r="C63" s="1044"/>
      <c r="D63" s="1044"/>
      <c r="E63" s="1041"/>
      <c r="F63" s="1041"/>
      <c r="G63" s="1041"/>
      <c r="H63" s="1041"/>
      <c r="I63" s="1041"/>
      <c r="J63" s="1038"/>
      <c r="K63" s="1038"/>
      <c r="L63" s="1038"/>
      <c r="M63" s="1041"/>
      <c r="N63" s="1041"/>
      <c r="O63" s="1041"/>
      <c r="P63" s="1041">
        <v>2547</v>
      </c>
      <c r="Q63" s="1041">
        <v>1984</v>
      </c>
      <c r="R63" s="1041">
        <v>2210</v>
      </c>
      <c r="S63" s="1041">
        <v>6114</v>
      </c>
      <c r="T63" s="1041">
        <v>4773</v>
      </c>
      <c r="U63" s="1041">
        <v>3739</v>
      </c>
      <c r="V63" s="1041">
        <v>2443</v>
      </c>
      <c r="W63" s="1041">
        <v>7550</v>
      </c>
      <c r="X63" s="1042">
        <v>3946</v>
      </c>
      <c r="Y63" s="1052">
        <v>2860</v>
      </c>
      <c r="Z63" s="1043">
        <f t="shared" si="1"/>
        <v>38166</v>
      </c>
      <c r="AA63" s="1045"/>
      <c r="AB63" s="1045"/>
      <c r="AC63" s="1045"/>
      <c r="AD63" s="1045"/>
      <c r="AE63" s="1046"/>
      <c r="AF63" s="1045"/>
      <c r="AG63" s="1045"/>
      <c r="AH63" s="1045"/>
      <c r="AJ63" s="1045"/>
      <c r="AK63" s="1045"/>
      <c r="AL63" s="1045"/>
      <c r="AM63" s="1045"/>
      <c r="AN63" s="1045"/>
      <c r="AO63" s="1045"/>
      <c r="AP63" s="1045"/>
      <c r="AQ63" s="1045"/>
      <c r="AR63" s="1045"/>
      <c r="AS63" s="1045"/>
      <c r="AT63" s="1045"/>
      <c r="AU63" s="1045"/>
      <c r="AV63" s="1045"/>
      <c r="AW63" s="1045"/>
      <c r="AX63" s="1045"/>
      <c r="AY63" s="1045"/>
      <c r="AZ63" s="1045"/>
      <c r="BA63" s="1045"/>
      <c r="BB63" s="1045"/>
      <c r="BC63" s="1045"/>
      <c r="BD63" s="1045"/>
      <c r="BE63" s="1045"/>
      <c r="BF63" s="1045"/>
      <c r="BG63" s="1045"/>
      <c r="BH63" s="1045"/>
      <c r="BI63" s="1045"/>
    </row>
    <row r="64" spans="1:61" s="878" customFormat="1" ht="14.25">
      <c r="A64" s="1037">
        <f t="shared" si="0"/>
        <v>52</v>
      </c>
      <c r="B64" s="1038" t="s">
        <v>220</v>
      </c>
      <c r="C64" s="1044"/>
      <c r="D64" s="1044"/>
      <c r="E64" s="1041"/>
      <c r="F64" s="1041"/>
      <c r="G64" s="1041"/>
      <c r="H64" s="1041">
        <v>14</v>
      </c>
      <c r="I64" s="1041">
        <v>144</v>
      </c>
      <c r="J64" s="1038">
        <v>667</v>
      </c>
      <c r="K64" s="1038">
        <v>363</v>
      </c>
      <c r="L64" s="1041">
        <v>379</v>
      </c>
      <c r="M64" s="1041">
        <v>3286</v>
      </c>
      <c r="N64" s="1041">
        <v>12544</v>
      </c>
      <c r="O64" s="1041">
        <v>4375</v>
      </c>
      <c r="P64" s="1041"/>
      <c r="Q64" s="1041">
        <v>231</v>
      </c>
      <c r="R64" s="1041">
        <v>38.64</v>
      </c>
      <c r="S64" s="1041"/>
      <c r="T64" s="1041"/>
      <c r="U64" s="1041"/>
      <c r="V64" s="1041"/>
      <c r="W64" s="1041">
        <v>0</v>
      </c>
      <c r="X64" s="1042"/>
      <c r="Y64" s="1052">
        <v>0</v>
      </c>
      <c r="Z64" s="1043">
        <f t="shared" si="1"/>
        <v>22041.64</v>
      </c>
      <c r="AA64" s="1045"/>
      <c r="AB64" s="1045"/>
      <c r="AC64" s="1045"/>
      <c r="AD64" s="1045"/>
      <c r="AE64" s="1046"/>
      <c r="AF64" s="1045"/>
      <c r="AG64" s="1045"/>
      <c r="AH64" s="1045"/>
      <c r="AJ64" s="1045"/>
      <c r="AK64" s="1045"/>
      <c r="AL64" s="1045"/>
      <c r="AM64" s="1045"/>
      <c r="AN64" s="1045"/>
      <c r="AO64" s="1045"/>
      <c r="AP64" s="1045"/>
      <c r="AQ64" s="1045"/>
      <c r="AR64" s="1045"/>
      <c r="AS64" s="1045"/>
      <c r="AT64" s="1045"/>
      <c r="AU64" s="1045"/>
      <c r="AV64" s="1045"/>
      <c r="AW64" s="1045"/>
      <c r="AX64" s="1045"/>
      <c r="AY64" s="1045"/>
      <c r="AZ64" s="1045"/>
      <c r="BA64" s="1045"/>
      <c r="BB64" s="1045"/>
      <c r="BC64" s="1045"/>
      <c r="BD64" s="1045"/>
      <c r="BE64" s="1045"/>
      <c r="BF64" s="1045"/>
      <c r="BG64" s="1045"/>
      <c r="BH64" s="1045"/>
      <c r="BI64" s="1045"/>
    </row>
    <row r="65" spans="1:61" s="878" customFormat="1" ht="14.25">
      <c r="A65" s="1037">
        <f t="shared" si="0"/>
        <v>53</v>
      </c>
      <c r="B65" s="1038" t="s">
        <v>221</v>
      </c>
      <c r="C65" s="1044"/>
      <c r="D65" s="1044"/>
      <c r="E65" s="1041"/>
      <c r="F65" s="1041"/>
      <c r="G65" s="1041"/>
      <c r="H65" s="1041"/>
      <c r="I65" s="1041"/>
      <c r="J65" s="1041"/>
      <c r="K65" s="1041"/>
      <c r="L65" s="1041"/>
      <c r="M65" s="1041"/>
      <c r="N65" s="1041"/>
      <c r="O65" s="1041">
        <v>302</v>
      </c>
      <c r="P65" s="1041">
        <v>153.6</v>
      </c>
      <c r="Q65" s="1041">
        <v>195.2</v>
      </c>
      <c r="R65" s="1041">
        <v>290</v>
      </c>
      <c r="S65" s="1041">
        <v>80.6</v>
      </c>
      <c r="T65" s="1041">
        <v>101</v>
      </c>
      <c r="U65" s="1041">
        <v>40</v>
      </c>
      <c r="V65" s="1041"/>
      <c r="W65" s="1041">
        <v>0</v>
      </c>
      <c r="X65" s="1042"/>
      <c r="Y65" s="1052">
        <v>0</v>
      </c>
      <c r="Z65" s="1043">
        <f t="shared" si="1"/>
        <v>1162.4</v>
      </c>
      <c r="AA65" s="1045"/>
      <c r="AB65" s="1045"/>
      <c r="AC65" s="1045"/>
      <c r="AD65" s="1045"/>
      <c r="AE65" s="1046"/>
      <c r="AF65" s="1045"/>
      <c r="AG65" s="1045"/>
      <c r="AH65" s="1045"/>
      <c r="AJ65" s="1045"/>
      <c r="AK65" s="1045"/>
      <c r="AL65" s="1045"/>
      <c r="AM65" s="1045"/>
      <c r="AN65" s="1045"/>
      <c r="AO65" s="1045"/>
      <c r="AP65" s="1045"/>
      <c r="AQ65" s="1045"/>
      <c r="AR65" s="1045"/>
      <c r="AS65" s="1045"/>
      <c r="AT65" s="1045"/>
      <c r="AU65" s="1045"/>
      <c r="AV65" s="1045"/>
      <c r="AW65" s="1045"/>
      <c r="AX65" s="1045"/>
      <c r="AY65" s="1045"/>
      <c r="AZ65" s="1045"/>
      <c r="BA65" s="1045"/>
      <c r="BB65" s="1045"/>
      <c r="BC65" s="1045"/>
      <c r="BD65" s="1045"/>
      <c r="BE65" s="1045"/>
      <c r="BF65" s="1045"/>
      <c r="BG65" s="1045"/>
      <c r="BH65" s="1045"/>
      <c r="BI65" s="1045"/>
    </row>
    <row r="66" spans="1:61" s="878" customFormat="1" ht="14.25">
      <c r="A66" s="1037">
        <f t="shared" si="0"/>
        <v>54</v>
      </c>
      <c r="B66" s="1038" t="s">
        <v>222</v>
      </c>
      <c r="C66" s="1044"/>
      <c r="D66" s="1044"/>
      <c r="E66" s="1041"/>
      <c r="F66" s="1041"/>
      <c r="G66" s="1041"/>
      <c r="H66" s="1041"/>
      <c r="I66" s="1041"/>
      <c r="J66" s="1041"/>
      <c r="K66" s="1041"/>
      <c r="L66" s="1041"/>
      <c r="M66" s="1041"/>
      <c r="N66" s="1041"/>
      <c r="O66" s="1041"/>
      <c r="P66" s="1041"/>
      <c r="Q66" s="1041"/>
      <c r="R66" s="1041"/>
      <c r="S66" s="1041"/>
      <c r="T66" s="1041"/>
      <c r="U66" s="1041"/>
      <c r="V66" s="1041"/>
      <c r="W66" s="1041"/>
      <c r="X66" s="1042">
        <v>7776.99</v>
      </c>
      <c r="Y66" s="1052">
        <v>58466</v>
      </c>
      <c r="Z66" s="1043">
        <f t="shared" si="1"/>
        <v>66242.99</v>
      </c>
      <c r="AA66" s="1045"/>
      <c r="AB66" s="1045"/>
      <c r="AC66" s="1045"/>
      <c r="AD66" s="1045"/>
      <c r="AE66" s="1046"/>
      <c r="AF66" s="1045"/>
      <c r="AG66" s="1045"/>
      <c r="AH66" s="1045"/>
      <c r="AJ66" s="1045"/>
      <c r="AK66" s="1045"/>
      <c r="AL66" s="1045"/>
      <c r="AM66" s="1045"/>
      <c r="AN66" s="1045"/>
      <c r="AO66" s="1045"/>
      <c r="AP66" s="1045"/>
      <c r="AQ66" s="1045"/>
      <c r="AR66" s="1045"/>
      <c r="AS66" s="1045"/>
      <c r="AT66" s="1045"/>
      <c r="AU66" s="1045"/>
      <c r="AV66" s="1045"/>
      <c r="AW66" s="1045"/>
      <c r="AX66" s="1045"/>
      <c r="AY66" s="1045"/>
      <c r="AZ66" s="1045"/>
      <c r="BA66" s="1045"/>
      <c r="BB66" s="1045"/>
      <c r="BC66" s="1045"/>
      <c r="BD66" s="1045"/>
      <c r="BE66" s="1045"/>
      <c r="BF66" s="1045"/>
      <c r="BG66" s="1045"/>
      <c r="BH66" s="1045"/>
      <c r="BI66" s="1045"/>
    </row>
    <row r="67" spans="1:61" s="878" customFormat="1" ht="14.25">
      <c r="A67" s="1037">
        <f t="shared" si="0"/>
        <v>55</v>
      </c>
      <c r="B67" s="1038" t="s">
        <v>223</v>
      </c>
      <c r="C67" s="1044"/>
      <c r="D67" s="1044"/>
      <c r="E67" s="1041"/>
      <c r="F67" s="1041"/>
      <c r="G67" s="1041"/>
      <c r="H67" s="1041"/>
      <c r="I67" s="1041"/>
      <c r="J67" s="1041"/>
      <c r="K67" s="1041"/>
      <c r="L67" s="1041"/>
      <c r="M67" s="1041"/>
      <c r="N67" s="1041"/>
      <c r="O67" s="1041">
        <v>305</v>
      </c>
      <c r="P67" s="1041"/>
      <c r="Q67" s="1041">
        <v>3062</v>
      </c>
      <c r="R67" s="1041">
        <v>850</v>
      </c>
      <c r="S67" s="1041">
        <v>2698</v>
      </c>
      <c r="T67" s="1041">
        <v>3688</v>
      </c>
      <c r="U67" s="1041">
        <v>1656</v>
      </c>
      <c r="V67" s="1041">
        <v>6809</v>
      </c>
      <c r="W67" s="1041">
        <v>2259</v>
      </c>
      <c r="X67" s="1042">
        <v>6236</v>
      </c>
      <c r="Y67" s="1052">
        <v>3570</v>
      </c>
      <c r="Z67" s="1043">
        <f t="shared" si="1"/>
        <v>31133</v>
      </c>
      <c r="AA67" s="1045"/>
      <c r="AB67" s="1045"/>
      <c r="AC67" s="1045"/>
      <c r="AD67" s="1045"/>
      <c r="AE67" s="1046"/>
      <c r="AF67" s="1045"/>
      <c r="AG67" s="1045"/>
      <c r="AH67" s="1045"/>
      <c r="AJ67" s="1045"/>
      <c r="AK67" s="1045"/>
      <c r="AL67" s="1045"/>
      <c r="AM67" s="1045"/>
      <c r="AN67" s="1045"/>
      <c r="AO67" s="1045"/>
      <c r="AP67" s="1045"/>
      <c r="AQ67" s="1045"/>
      <c r="AR67" s="1045"/>
      <c r="AS67" s="1045"/>
      <c r="AT67" s="1045"/>
      <c r="AU67" s="1045"/>
      <c r="AV67" s="1045"/>
      <c r="AW67" s="1045"/>
      <c r="AX67" s="1045"/>
      <c r="AY67" s="1045"/>
      <c r="AZ67" s="1045"/>
      <c r="BA67" s="1045"/>
      <c r="BB67" s="1045"/>
      <c r="BC67" s="1045"/>
      <c r="BD67" s="1045"/>
      <c r="BE67" s="1045"/>
      <c r="BF67" s="1045"/>
      <c r="BG67" s="1045"/>
      <c r="BH67" s="1045"/>
      <c r="BI67" s="1045"/>
    </row>
    <row r="68" spans="1:61" s="878" customFormat="1" ht="15" thickBot="1">
      <c r="A68" s="1037">
        <f t="shared" si="0"/>
        <v>56</v>
      </c>
      <c r="B68" s="1038" t="s">
        <v>295</v>
      </c>
      <c r="C68" s="1044"/>
      <c r="D68" s="1044"/>
      <c r="E68" s="1041"/>
      <c r="F68" s="1041"/>
      <c r="G68" s="1041"/>
      <c r="H68" s="1041"/>
      <c r="I68" s="1041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41"/>
      <c r="U68" s="1041"/>
      <c r="V68" s="1041"/>
      <c r="W68" s="1041"/>
      <c r="X68" s="1042"/>
      <c r="Y68" s="1052">
        <v>165391</v>
      </c>
      <c r="Z68" s="1043">
        <f t="shared" si="1"/>
        <v>165391</v>
      </c>
      <c r="AA68" s="1045"/>
      <c r="AB68" s="1045"/>
      <c r="AC68" s="1045"/>
      <c r="AD68" s="1045"/>
      <c r="AE68" s="1046"/>
      <c r="AF68" s="1045"/>
      <c r="AG68" s="1045"/>
      <c r="AH68" s="1045"/>
      <c r="AJ68" s="1045"/>
      <c r="AK68" s="1045"/>
      <c r="AL68" s="1045"/>
      <c r="AM68" s="1045"/>
      <c r="AN68" s="1045"/>
      <c r="AO68" s="1045"/>
      <c r="AP68" s="1045"/>
      <c r="AQ68" s="1045"/>
      <c r="AR68" s="1045"/>
      <c r="AS68" s="1045"/>
      <c r="AT68" s="1045"/>
      <c r="AU68" s="1045"/>
      <c r="AV68" s="1045"/>
      <c r="AW68" s="1045"/>
      <c r="AX68" s="1045"/>
      <c r="AY68" s="1045"/>
      <c r="AZ68" s="1045"/>
      <c r="BA68" s="1045"/>
      <c r="BB68" s="1045"/>
      <c r="BC68" s="1045"/>
      <c r="BD68" s="1045"/>
      <c r="BE68" s="1045"/>
      <c r="BF68" s="1045"/>
      <c r="BG68" s="1045"/>
      <c r="BH68" s="1045"/>
      <c r="BI68" s="1045"/>
    </row>
    <row r="69" spans="1:61" ht="15" thickBot="1">
      <c r="A69" s="1053" t="s">
        <v>0</v>
      </c>
      <c r="B69" s="1054"/>
      <c r="C69" s="1055"/>
      <c r="D69" s="1056"/>
      <c r="E69" s="1057"/>
      <c r="F69" s="1057"/>
      <c r="G69" s="1058">
        <f aca="true" t="shared" si="2" ref="G69:T69">SUM(G10:G52)</f>
        <v>31478.89</v>
      </c>
      <c r="H69" s="1058">
        <f t="shared" si="2"/>
        <v>7634.63</v>
      </c>
      <c r="I69" s="1058">
        <f t="shared" si="2"/>
        <v>97607.45999999999</v>
      </c>
      <c r="J69" s="1058">
        <f>SUM(J10:J52)</f>
        <v>239539.95500000002</v>
      </c>
      <c r="K69" s="1058">
        <f t="shared" si="2"/>
        <v>250346.128</v>
      </c>
      <c r="L69" s="1057">
        <f t="shared" si="2"/>
        <v>280451.419</v>
      </c>
      <c r="M69" s="1057">
        <f t="shared" si="2"/>
        <v>208222</v>
      </c>
      <c r="N69" s="1057">
        <f t="shared" si="2"/>
        <v>18828.1</v>
      </c>
      <c r="O69" s="1057">
        <f t="shared" si="2"/>
        <v>17720</v>
      </c>
      <c r="P69" s="1058">
        <f t="shared" si="2"/>
        <v>11088</v>
      </c>
      <c r="Q69" s="1058">
        <f>SUM(Q10:Q63)</f>
        <v>89077</v>
      </c>
      <c r="R69" s="1058">
        <f>SUM(R10:R63)</f>
        <v>138546</v>
      </c>
      <c r="S69" s="1058">
        <f t="shared" si="2"/>
        <v>250116</v>
      </c>
      <c r="T69" s="1057">
        <f t="shared" si="2"/>
        <v>233692</v>
      </c>
      <c r="U69" s="1058">
        <f>SUM(U10:U52)</f>
        <v>442564</v>
      </c>
      <c r="V69" s="1058">
        <f>SUM(V10:V52)</f>
        <v>337283</v>
      </c>
      <c r="W69" s="1058">
        <f>SUM(W10:W67)</f>
        <v>533520</v>
      </c>
      <c r="X69" s="1058">
        <f>SUM(X10:X68)</f>
        <v>1212192.3652000001</v>
      </c>
      <c r="Y69" s="1058">
        <f>SUM(Y10:Y68)</f>
        <v>1746129.66045</v>
      </c>
      <c r="Z69" s="1059">
        <f>SUM(Z10:Z68)</f>
        <v>6250305.647650001</v>
      </c>
      <c r="AA69" s="1060"/>
      <c r="AB69" s="1061"/>
      <c r="AC69" s="1061"/>
      <c r="AD69" s="1061"/>
      <c r="AE69" s="1062"/>
      <c r="AF69" s="1061"/>
      <c r="AG69" s="1061"/>
      <c r="AH69" s="1061"/>
      <c r="AJ69" s="1061"/>
      <c r="AK69" s="1061"/>
      <c r="AL69" s="1061"/>
      <c r="AM69" s="1061"/>
      <c r="AN69" s="1061"/>
      <c r="AO69" s="1061"/>
      <c r="AP69" s="1061"/>
      <c r="AQ69" s="1061"/>
      <c r="AR69" s="1061"/>
      <c r="AS69" s="1061"/>
      <c r="AT69" s="1061"/>
      <c r="AU69" s="1061"/>
      <c r="AV69" s="1061"/>
      <c r="AW69" s="1061"/>
      <c r="AX69" s="1061"/>
      <c r="AY69" s="1061"/>
      <c r="AZ69" s="1061"/>
      <c r="BA69" s="1061"/>
      <c r="BB69" s="1061"/>
      <c r="BC69" s="1061"/>
      <c r="BD69" s="1061"/>
      <c r="BE69" s="1061"/>
      <c r="BF69" s="1061"/>
      <c r="BG69" s="1061"/>
      <c r="BH69" s="1061"/>
      <c r="BI69" s="1061"/>
    </row>
    <row r="70" spans="1:61" s="1062" customFormat="1" ht="15" thickBot="1">
      <c r="A70" s="1063"/>
      <c r="B70" s="1063"/>
      <c r="C70" s="1064"/>
      <c r="D70" s="1064"/>
      <c r="E70" s="1065"/>
      <c r="F70" s="1065"/>
      <c r="G70" s="1065"/>
      <c r="H70" s="1065"/>
      <c r="I70" s="1065"/>
      <c r="J70" s="1065"/>
      <c r="K70" s="1065"/>
      <c r="L70" s="1065"/>
      <c r="M70" s="1065"/>
      <c r="N70" s="1065"/>
      <c r="O70" s="1065"/>
      <c r="P70" s="1065"/>
      <c r="Q70" s="1065"/>
      <c r="R70" s="1065"/>
      <c r="S70" s="1065"/>
      <c r="T70" s="1065"/>
      <c r="U70" s="1065"/>
      <c r="V70" s="1065"/>
      <c r="W70" s="1065"/>
      <c r="X70" s="1065"/>
      <c r="Y70" s="1065"/>
      <c r="Z70" s="1066"/>
      <c r="AA70" s="1060"/>
      <c r="AB70" s="1061"/>
      <c r="AC70" s="1061"/>
      <c r="AD70" s="1061"/>
      <c r="AF70" s="1061"/>
      <c r="AG70" s="1061"/>
      <c r="AH70" s="1061"/>
      <c r="AJ70" s="1061"/>
      <c r="AK70" s="1061"/>
      <c r="AL70" s="1061"/>
      <c r="AM70" s="1061"/>
      <c r="AN70" s="1061"/>
      <c r="AO70" s="1061"/>
      <c r="AP70" s="1061"/>
      <c r="AQ70" s="1061"/>
      <c r="AR70" s="1061"/>
      <c r="AS70" s="1061"/>
      <c r="AT70" s="1061"/>
      <c r="AU70" s="1061"/>
      <c r="AV70" s="1061"/>
      <c r="AW70" s="1061"/>
      <c r="AX70" s="1061"/>
      <c r="AY70" s="1061"/>
      <c r="AZ70" s="1061"/>
      <c r="BA70" s="1061"/>
      <c r="BB70" s="1061"/>
      <c r="BC70" s="1061"/>
      <c r="BD70" s="1061"/>
      <c r="BE70" s="1061"/>
      <c r="BF70" s="1061"/>
      <c r="BG70" s="1061"/>
      <c r="BH70" s="1061"/>
      <c r="BI70" s="1061"/>
    </row>
    <row r="71" spans="1:61" ht="15.75" thickBot="1">
      <c r="A71" s="1067" t="s">
        <v>175</v>
      </c>
      <c r="B71" s="1068" t="s">
        <v>224</v>
      </c>
      <c r="C71" s="1069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1"/>
      <c r="AA71" s="1061"/>
      <c r="AB71" s="1061"/>
      <c r="AC71" s="1061"/>
      <c r="AD71" s="1061"/>
      <c r="AE71" s="1062"/>
      <c r="AF71" s="1061"/>
      <c r="AG71" s="1061"/>
      <c r="AH71" s="1061"/>
      <c r="AJ71" s="1061"/>
      <c r="AK71" s="1061"/>
      <c r="AL71" s="1061"/>
      <c r="AM71" s="1061"/>
      <c r="AN71" s="1061"/>
      <c r="AO71" s="1061"/>
      <c r="AP71" s="1061"/>
      <c r="AQ71" s="1061"/>
      <c r="AR71" s="1061"/>
      <c r="AS71" s="1061"/>
      <c r="AT71" s="1061"/>
      <c r="AU71" s="1061"/>
      <c r="AV71" s="1061"/>
      <c r="AW71" s="1061"/>
      <c r="AX71" s="1061"/>
      <c r="AY71" s="1061"/>
      <c r="AZ71" s="1061"/>
      <c r="BA71" s="1061"/>
      <c r="BB71" s="1061"/>
      <c r="BC71" s="1061"/>
      <c r="BD71" s="1061"/>
      <c r="BE71" s="1061"/>
      <c r="BF71" s="1061"/>
      <c r="BG71" s="1061"/>
      <c r="BH71" s="1061"/>
      <c r="BI71" s="1061"/>
    </row>
    <row r="72" spans="1:61" s="878" customFormat="1" ht="14.25">
      <c r="A72" s="1029">
        <v>1</v>
      </c>
      <c r="B72" s="1030" t="s">
        <v>225</v>
      </c>
      <c r="C72" s="1072"/>
      <c r="D72" s="1072"/>
      <c r="E72" s="1073"/>
      <c r="F72" s="1073"/>
      <c r="G72" s="1073"/>
      <c r="H72" s="1073"/>
      <c r="I72" s="1073"/>
      <c r="J72" s="1073"/>
      <c r="K72" s="1073"/>
      <c r="L72" s="1073"/>
      <c r="M72" s="1073"/>
      <c r="N72" s="1032">
        <v>10000</v>
      </c>
      <c r="O72" s="1032"/>
      <c r="P72" s="1032"/>
      <c r="Q72" s="1032"/>
      <c r="R72" s="1032"/>
      <c r="S72" s="1032"/>
      <c r="T72" s="1032"/>
      <c r="U72" s="1032"/>
      <c r="V72" s="1032">
        <v>175572</v>
      </c>
      <c r="W72" s="1032">
        <v>107319</v>
      </c>
      <c r="X72" s="1033">
        <v>31802</v>
      </c>
      <c r="Y72" s="1033">
        <v>290270</v>
      </c>
      <c r="Z72" s="1034">
        <f>SUM(C72:Y72)</f>
        <v>614963</v>
      </c>
      <c r="AA72" s="1045"/>
      <c r="AB72" s="1045"/>
      <c r="AC72" s="1045"/>
      <c r="AD72" s="1045"/>
      <c r="AE72" s="1046"/>
      <c r="AF72" s="1045"/>
      <c r="AG72" s="1045"/>
      <c r="AH72" s="1045"/>
      <c r="AJ72" s="1045"/>
      <c r="AK72" s="1045"/>
      <c r="AL72" s="1045"/>
      <c r="AM72" s="1045"/>
      <c r="AN72" s="1045"/>
      <c r="AO72" s="1045"/>
      <c r="AP72" s="1045"/>
      <c r="AQ72" s="1045"/>
      <c r="AR72" s="1045"/>
      <c r="AS72" s="1045"/>
      <c r="AT72" s="1045"/>
      <c r="AU72" s="1045"/>
      <c r="AV72" s="1045"/>
      <c r="AW72" s="1045"/>
      <c r="AX72" s="1045"/>
      <c r="AY72" s="1045"/>
      <c r="AZ72" s="1045"/>
      <c r="BA72" s="1045"/>
      <c r="BB72" s="1045"/>
      <c r="BC72" s="1045"/>
      <c r="BD72" s="1045"/>
      <c r="BE72" s="1045"/>
      <c r="BF72" s="1045"/>
      <c r="BG72" s="1045"/>
      <c r="BH72" s="1045"/>
      <c r="BI72" s="1045"/>
    </row>
    <row r="73" spans="1:61" s="878" customFormat="1" ht="14.25">
      <c r="A73" s="1037">
        <f aca="true" t="shared" si="3" ref="A73:A82">A72+1</f>
        <v>2</v>
      </c>
      <c r="B73" s="1038" t="s">
        <v>226</v>
      </c>
      <c r="C73" s="1039"/>
      <c r="D73" s="1039"/>
      <c r="E73" s="1040"/>
      <c r="F73" s="1040"/>
      <c r="G73" s="1040"/>
      <c r="H73" s="1040"/>
      <c r="I73" s="1040"/>
      <c r="J73" s="1040"/>
      <c r="K73" s="1040"/>
      <c r="L73" s="1040"/>
      <c r="M73" s="1040"/>
      <c r="N73" s="1041"/>
      <c r="O73" s="1041"/>
      <c r="P73" s="1041"/>
      <c r="Q73" s="1041"/>
      <c r="R73" s="1041">
        <v>1394</v>
      </c>
      <c r="S73" s="1041"/>
      <c r="T73" s="1041"/>
      <c r="U73" s="1041"/>
      <c r="V73" s="1041">
        <v>3113</v>
      </c>
      <c r="W73" s="1041">
        <v>0</v>
      </c>
      <c r="X73" s="1042">
        <v>0</v>
      </c>
      <c r="Y73" s="1042"/>
      <c r="Z73" s="1043">
        <f aca="true" t="shared" si="4" ref="Z73:Z82">SUM(C73:Y73)</f>
        <v>4507</v>
      </c>
      <c r="AA73" s="1045"/>
      <c r="AB73" s="1045"/>
      <c r="AC73" s="1045"/>
      <c r="AD73" s="1045"/>
      <c r="AE73" s="1046"/>
      <c r="AF73" s="1045"/>
      <c r="AG73" s="1045"/>
      <c r="AH73" s="1045"/>
      <c r="AJ73" s="1045"/>
      <c r="AK73" s="1045"/>
      <c r="AL73" s="1045"/>
      <c r="AM73" s="1045"/>
      <c r="AN73" s="1045"/>
      <c r="AO73" s="1045"/>
      <c r="AP73" s="1045"/>
      <c r="AQ73" s="1045"/>
      <c r="AR73" s="1045"/>
      <c r="AS73" s="1045"/>
      <c r="AT73" s="1045"/>
      <c r="AU73" s="1045"/>
      <c r="AV73" s="1045"/>
      <c r="AW73" s="1045"/>
      <c r="AX73" s="1045"/>
      <c r="AY73" s="1045"/>
      <c r="AZ73" s="1045"/>
      <c r="BA73" s="1045"/>
      <c r="BB73" s="1045"/>
      <c r="BC73" s="1045"/>
      <c r="BD73" s="1045"/>
      <c r="BE73" s="1045"/>
      <c r="BF73" s="1045"/>
      <c r="BG73" s="1045"/>
      <c r="BH73" s="1045"/>
      <c r="BI73" s="1045"/>
    </row>
    <row r="74" spans="1:61" s="878" customFormat="1" ht="14.25">
      <c r="A74" s="1037">
        <f t="shared" si="3"/>
        <v>3</v>
      </c>
      <c r="B74" s="1038" t="s">
        <v>227</v>
      </c>
      <c r="C74" s="1039"/>
      <c r="D74" s="1039"/>
      <c r="E74" s="1040"/>
      <c r="F74" s="1040"/>
      <c r="G74" s="1040"/>
      <c r="H74" s="1040"/>
      <c r="I74" s="1040"/>
      <c r="J74" s="1040"/>
      <c r="K74" s="1040"/>
      <c r="L74" s="1040"/>
      <c r="M74" s="1040"/>
      <c r="N74" s="1041">
        <v>13513</v>
      </c>
      <c r="O74" s="1041"/>
      <c r="P74" s="1041">
        <v>341</v>
      </c>
      <c r="Q74" s="1041">
        <v>9017</v>
      </c>
      <c r="R74" s="1041">
        <v>92</v>
      </c>
      <c r="S74" s="1041">
        <v>1179</v>
      </c>
      <c r="T74" s="1041">
        <v>3612</v>
      </c>
      <c r="U74" s="1041">
        <v>3248</v>
      </c>
      <c r="V74" s="1041">
        <v>271</v>
      </c>
      <c r="W74" s="1041">
        <v>0</v>
      </c>
      <c r="X74" s="1042">
        <v>0</v>
      </c>
      <c r="Y74" s="1042"/>
      <c r="Z74" s="1043">
        <f t="shared" si="4"/>
        <v>31273</v>
      </c>
      <c r="AA74" s="1045"/>
      <c r="AB74" s="1045"/>
      <c r="AC74" s="1045"/>
      <c r="AD74" s="1045"/>
      <c r="AE74" s="1046"/>
      <c r="AF74" s="1045"/>
      <c r="AG74" s="1045"/>
      <c r="AH74" s="1045"/>
      <c r="AJ74" s="1045"/>
      <c r="AK74" s="1045"/>
      <c r="AL74" s="1045"/>
      <c r="AM74" s="1045"/>
      <c r="AN74" s="1045"/>
      <c r="AO74" s="1045"/>
      <c r="AP74" s="1045"/>
      <c r="AQ74" s="1045"/>
      <c r="AR74" s="1045"/>
      <c r="AS74" s="1045"/>
      <c r="AT74" s="1045"/>
      <c r="AU74" s="1045"/>
      <c r="AV74" s="1045"/>
      <c r="AW74" s="1045"/>
      <c r="AX74" s="1045"/>
      <c r="AY74" s="1045"/>
      <c r="AZ74" s="1045"/>
      <c r="BA74" s="1045"/>
      <c r="BB74" s="1045"/>
      <c r="BC74" s="1045"/>
      <c r="BD74" s="1045"/>
      <c r="BE74" s="1045"/>
      <c r="BF74" s="1045"/>
      <c r="BG74" s="1045"/>
      <c r="BH74" s="1045"/>
      <c r="BI74" s="1045"/>
    </row>
    <row r="75" spans="1:61" s="878" customFormat="1" ht="14.25">
      <c r="A75" s="1037">
        <f t="shared" si="3"/>
        <v>4</v>
      </c>
      <c r="B75" s="1038" t="s">
        <v>228</v>
      </c>
      <c r="C75" s="1039"/>
      <c r="D75" s="1039"/>
      <c r="E75" s="1040"/>
      <c r="F75" s="1040"/>
      <c r="G75" s="1040"/>
      <c r="H75" s="1040"/>
      <c r="I75" s="1040"/>
      <c r="J75" s="1040"/>
      <c r="K75" s="1040"/>
      <c r="L75" s="1040"/>
      <c r="M75" s="1040"/>
      <c r="N75" s="1041"/>
      <c r="O75" s="1041"/>
      <c r="P75" s="1041"/>
      <c r="Q75" s="1041"/>
      <c r="R75" s="1041">
        <v>5549.29</v>
      </c>
      <c r="S75" s="1041">
        <v>217.14</v>
      </c>
      <c r="T75" s="1041">
        <v>40</v>
      </c>
      <c r="U75" s="1041">
        <v>495</v>
      </c>
      <c r="V75" s="1041">
        <v>850</v>
      </c>
      <c r="W75" s="1041">
        <v>0</v>
      </c>
      <c r="X75" s="1042">
        <v>0</v>
      </c>
      <c r="Y75" s="1042"/>
      <c r="Z75" s="1043">
        <f t="shared" si="4"/>
        <v>7151.43</v>
      </c>
      <c r="AA75" s="1045"/>
      <c r="AB75" s="1045"/>
      <c r="AC75" s="1045"/>
      <c r="AD75" s="1045"/>
      <c r="AE75" s="1046"/>
      <c r="AF75" s="1045"/>
      <c r="AG75" s="1045"/>
      <c r="AH75" s="1045"/>
      <c r="AJ75" s="1045"/>
      <c r="AK75" s="1045"/>
      <c r="AL75" s="1045"/>
      <c r="AM75" s="1045"/>
      <c r="AN75" s="1045"/>
      <c r="AO75" s="1045"/>
      <c r="AP75" s="1045"/>
      <c r="AQ75" s="1045"/>
      <c r="AR75" s="1045"/>
      <c r="AS75" s="1045"/>
      <c r="AT75" s="1045"/>
      <c r="AU75" s="1045"/>
      <c r="AV75" s="1045"/>
      <c r="AW75" s="1045"/>
      <c r="AX75" s="1045"/>
      <c r="AY75" s="1045"/>
      <c r="AZ75" s="1045"/>
      <c r="BA75" s="1045"/>
      <c r="BB75" s="1045"/>
      <c r="BC75" s="1045"/>
      <c r="BD75" s="1045"/>
      <c r="BE75" s="1045"/>
      <c r="BF75" s="1045"/>
      <c r="BG75" s="1045"/>
      <c r="BH75" s="1045"/>
      <c r="BI75" s="1045"/>
    </row>
    <row r="76" spans="1:34" s="878" customFormat="1" ht="14.25">
      <c r="A76" s="1037">
        <f t="shared" si="3"/>
        <v>5</v>
      </c>
      <c r="B76" s="1038" t="s">
        <v>229</v>
      </c>
      <c r="C76" s="1044"/>
      <c r="D76" s="1044"/>
      <c r="E76" s="1041"/>
      <c r="F76" s="1041"/>
      <c r="G76" s="1041"/>
      <c r="H76" s="1041"/>
      <c r="I76" s="1041"/>
      <c r="J76" s="1038"/>
      <c r="K76" s="1041">
        <v>13488</v>
      </c>
      <c r="L76" s="1041">
        <v>115580</v>
      </c>
      <c r="M76" s="1041">
        <v>50111</v>
      </c>
      <c r="N76" s="1041">
        <v>22851</v>
      </c>
      <c r="O76" s="1041">
        <v>2376</v>
      </c>
      <c r="P76" s="1041">
        <v>1170</v>
      </c>
      <c r="Q76" s="1041">
        <v>75</v>
      </c>
      <c r="R76" s="1041">
        <v>184</v>
      </c>
      <c r="S76" s="1041">
        <v>131.97</v>
      </c>
      <c r="T76" s="1041">
        <v>17</v>
      </c>
      <c r="U76" s="1041">
        <v>10254</v>
      </c>
      <c r="V76" s="1041">
        <v>56789</v>
      </c>
      <c r="W76" s="1041">
        <v>166210</v>
      </c>
      <c r="X76" s="1042">
        <v>196365</v>
      </c>
      <c r="Y76" s="1042">
        <v>133506</v>
      </c>
      <c r="Z76" s="1043">
        <f t="shared" si="4"/>
        <v>769107.97</v>
      </c>
      <c r="AA76" s="1045"/>
      <c r="AB76" s="1046"/>
      <c r="AC76" s="1046"/>
      <c r="AD76" s="1046"/>
      <c r="AE76" s="1046"/>
      <c r="AF76" s="1046"/>
      <c r="AG76" s="1046"/>
      <c r="AH76" s="1046"/>
    </row>
    <row r="77" spans="1:34" s="878" customFormat="1" ht="14.25">
      <c r="A77" s="1037">
        <f t="shared" si="3"/>
        <v>6</v>
      </c>
      <c r="B77" s="1038" t="s">
        <v>230</v>
      </c>
      <c r="C77" s="1044"/>
      <c r="D77" s="1044"/>
      <c r="E77" s="1041"/>
      <c r="F77" s="1041"/>
      <c r="G77" s="1041"/>
      <c r="H77" s="1041"/>
      <c r="I77" s="1041"/>
      <c r="J77" s="1038"/>
      <c r="K77" s="1041"/>
      <c r="L77" s="1041"/>
      <c r="M77" s="1041"/>
      <c r="N77" s="1041"/>
      <c r="O77" s="1041"/>
      <c r="P77" s="1041"/>
      <c r="Q77" s="1041"/>
      <c r="R77" s="1041"/>
      <c r="S77" s="1041"/>
      <c r="T77" s="1041"/>
      <c r="U77" s="1041"/>
      <c r="V77" s="1041">
        <v>53</v>
      </c>
      <c r="W77" s="1041">
        <v>14</v>
      </c>
      <c r="X77" s="1042">
        <v>27</v>
      </c>
      <c r="Y77" s="1042"/>
      <c r="Z77" s="1043">
        <f t="shared" si="4"/>
        <v>94</v>
      </c>
      <c r="AA77" s="1046"/>
      <c r="AB77" s="1046"/>
      <c r="AC77" s="1046"/>
      <c r="AD77" s="1046"/>
      <c r="AE77" s="1046"/>
      <c r="AF77" s="1046"/>
      <c r="AG77" s="1046"/>
      <c r="AH77" s="1046"/>
    </row>
    <row r="78" spans="1:34" s="878" customFormat="1" ht="14.25">
      <c r="A78" s="1037">
        <f t="shared" si="3"/>
        <v>7</v>
      </c>
      <c r="B78" s="1038" t="s">
        <v>231</v>
      </c>
      <c r="C78" s="1044"/>
      <c r="D78" s="1044"/>
      <c r="E78" s="1041"/>
      <c r="F78" s="1041"/>
      <c r="G78" s="1041"/>
      <c r="H78" s="1041"/>
      <c r="I78" s="1041"/>
      <c r="J78" s="1038"/>
      <c r="K78" s="1041"/>
      <c r="L78" s="1041"/>
      <c r="M78" s="1041"/>
      <c r="N78" s="1041"/>
      <c r="O78" s="1041">
        <v>693</v>
      </c>
      <c r="P78" s="1041">
        <v>15.7</v>
      </c>
      <c r="Q78" s="1041"/>
      <c r="R78" s="1041"/>
      <c r="S78" s="1041"/>
      <c r="T78" s="1041"/>
      <c r="U78" s="1041"/>
      <c r="V78" s="1041">
        <v>509</v>
      </c>
      <c r="W78" s="1041">
        <v>162</v>
      </c>
      <c r="X78" s="1042">
        <v>126</v>
      </c>
      <c r="Y78" s="1042">
        <v>5</v>
      </c>
      <c r="Z78" s="1043">
        <f t="shared" si="4"/>
        <v>1510.7</v>
      </c>
      <c r="AA78" s="1046"/>
      <c r="AB78" s="1046"/>
      <c r="AC78" s="1046"/>
      <c r="AD78" s="1046"/>
      <c r="AE78" s="1046"/>
      <c r="AF78" s="1046"/>
      <c r="AG78" s="1046"/>
      <c r="AH78" s="1046"/>
    </row>
    <row r="79" spans="1:34" s="878" customFormat="1" ht="14.25">
      <c r="A79" s="1037">
        <f t="shared" si="3"/>
        <v>8</v>
      </c>
      <c r="B79" s="1038" t="s">
        <v>232</v>
      </c>
      <c r="C79" s="1044"/>
      <c r="D79" s="1044"/>
      <c r="E79" s="1041"/>
      <c r="F79" s="1041"/>
      <c r="G79" s="1041"/>
      <c r="H79" s="1041"/>
      <c r="I79" s="1041"/>
      <c r="J79" s="1038"/>
      <c r="K79" s="1041"/>
      <c r="L79" s="1041"/>
      <c r="M79" s="1041"/>
      <c r="N79" s="1041"/>
      <c r="O79" s="1041">
        <v>30275</v>
      </c>
      <c r="P79" s="1041">
        <v>102</v>
      </c>
      <c r="Q79" s="1041">
        <v>18</v>
      </c>
      <c r="R79" s="1041">
        <v>47</v>
      </c>
      <c r="S79" s="1041">
        <v>247</v>
      </c>
      <c r="T79" s="1041">
        <v>25.8</v>
      </c>
      <c r="U79" s="1041">
        <v>33</v>
      </c>
      <c r="V79" s="1041">
        <v>20</v>
      </c>
      <c r="W79" s="1041">
        <v>3521</v>
      </c>
      <c r="X79" s="1042">
        <v>56</v>
      </c>
      <c r="Y79" s="1042">
        <v>141</v>
      </c>
      <c r="Z79" s="1043">
        <f t="shared" si="4"/>
        <v>34485.8</v>
      </c>
      <c r="AA79" s="1046"/>
      <c r="AB79" s="1046"/>
      <c r="AC79" s="1046"/>
      <c r="AD79" s="1046"/>
      <c r="AE79" s="1046"/>
      <c r="AF79" s="1046"/>
      <c r="AG79" s="1046"/>
      <c r="AH79" s="1046"/>
    </row>
    <row r="80" spans="1:34" s="878" customFormat="1" ht="14.25">
      <c r="A80" s="1037">
        <f t="shared" si="3"/>
        <v>9</v>
      </c>
      <c r="B80" s="1038" t="s">
        <v>233</v>
      </c>
      <c r="C80" s="1044"/>
      <c r="D80" s="1044"/>
      <c r="E80" s="1041"/>
      <c r="F80" s="1041"/>
      <c r="G80" s="1041"/>
      <c r="H80" s="1041"/>
      <c r="I80" s="1041"/>
      <c r="J80" s="1038"/>
      <c r="K80" s="1041"/>
      <c r="L80" s="1041"/>
      <c r="M80" s="1041"/>
      <c r="N80" s="1041"/>
      <c r="O80" s="1041"/>
      <c r="P80" s="1041"/>
      <c r="Q80" s="1041"/>
      <c r="R80" s="1041">
        <v>3642.94</v>
      </c>
      <c r="S80" s="1041">
        <v>1125.34</v>
      </c>
      <c r="T80" s="1041">
        <v>21.1</v>
      </c>
      <c r="U80" s="1041">
        <v>259</v>
      </c>
      <c r="V80" s="1041">
        <v>275</v>
      </c>
      <c r="W80" s="1041">
        <v>0</v>
      </c>
      <c r="X80" s="1042">
        <v>0</v>
      </c>
      <c r="Y80" s="1042"/>
      <c r="Z80" s="1043">
        <f t="shared" si="4"/>
        <v>5323.38</v>
      </c>
      <c r="AA80" s="1046"/>
      <c r="AB80" s="1046"/>
      <c r="AC80" s="1046"/>
      <c r="AD80" s="1046"/>
      <c r="AE80" s="1046"/>
      <c r="AF80" s="1046"/>
      <c r="AG80" s="1046"/>
      <c r="AH80" s="1046"/>
    </row>
    <row r="81" spans="1:34" s="878" customFormat="1" ht="14.25">
      <c r="A81" s="1037">
        <f t="shared" si="3"/>
        <v>10</v>
      </c>
      <c r="B81" s="1038" t="s">
        <v>296</v>
      </c>
      <c r="C81" s="1044"/>
      <c r="D81" s="1044"/>
      <c r="E81" s="1041"/>
      <c r="F81" s="1041"/>
      <c r="G81" s="1041"/>
      <c r="H81" s="1041"/>
      <c r="I81" s="1041"/>
      <c r="J81" s="1038"/>
      <c r="K81" s="1041"/>
      <c r="L81" s="1041"/>
      <c r="M81" s="1041"/>
      <c r="N81" s="1041"/>
      <c r="O81" s="1041">
        <v>1380</v>
      </c>
      <c r="P81" s="1041">
        <v>8535</v>
      </c>
      <c r="Q81" s="1041">
        <v>12130</v>
      </c>
      <c r="R81" s="1041">
        <v>8259</v>
      </c>
      <c r="S81" s="1041">
        <v>13643</v>
      </c>
      <c r="T81" s="1041">
        <v>65920</v>
      </c>
      <c r="U81" s="1041">
        <v>28817</v>
      </c>
      <c r="V81" s="1041">
        <v>16731</v>
      </c>
      <c r="W81" s="1041">
        <v>54628</v>
      </c>
      <c r="X81" s="1042">
        <v>50170</v>
      </c>
      <c r="Y81" s="1042">
        <v>46299</v>
      </c>
      <c r="Z81" s="1043">
        <f t="shared" si="4"/>
        <v>306512</v>
      </c>
      <c r="AA81" s="1046"/>
      <c r="AB81" s="1046"/>
      <c r="AC81" s="1046"/>
      <c r="AD81" s="1046"/>
      <c r="AE81" s="1046"/>
      <c r="AF81" s="1046"/>
      <c r="AG81" s="1046"/>
      <c r="AH81" s="1046"/>
    </row>
    <row r="82" spans="1:34" s="878" customFormat="1" ht="15" thickBot="1">
      <c r="A82" s="1074">
        <f t="shared" si="3"/>
        <v>11</v>
      </c>
      <c r="B82" s="1075" t="s">
        <v>297</v>
      </c>
      <c r="C82" s="1076"/>
      <c r="D82" s="1076"/>
      <c r="E82" s="1077"/>
      <c r="F82" s="1077"/>
      <c r="G82" s="1077"/>
      <c r="H82" s="1077"/>
      <c r="I82" s="1077"/>
      <c r="J82" s="1075"/>
      <c r="K82" s="1075"/>
      <c r="L82" s="1077">
        <v>23908.72</v>
      </c>
      <c r="M82" s="1077">
        <v>52138</v>
      </c>
      <c r="N82" s="1077">
        <v>12263</v>
      </c>
      <c r="O82" s="1077">
        <v>2556</v>
      </c>
      <c r="P82" s="1077">
        <v>2661.91</v>
      </c>
      <c r="Q82" s="1077">
        <v>3125.86</v>
      </c>
      <c r="R82" s="1077">
        <v>1465.67</v>
      </c>
      <c r="S82" s="1077"/>
      <c r="T82" s="1077"/>
      <c r="U82" s="1077"/>
      <c r="V82" s="1077">
        <v>180</v>
      </c>
      <c r="W82" s="1077">
        <v>703</v>
      </c>
      <c r="X82" s="1052">
        <v>0</v>
      </c>
      <c r="Y82" s="1052">
        <v>49</v>
      </c>
      <c r="Z82" s="1078">
        <f t="shared" si="4"/>
        <v>99051.16</v>
      </c>
      <c r="AA82" s="1046"/>
      <c r="AB82" s="1046"/>
      <c r="AC82" s="1046"/>
      <c r="AD82" s="1046"/>
      <c r="AE82" s="1046"/>
      <c r="AF82" s="1046"/>
      <c r="AG82" s="1046"/>
      <c r="AH82" s="1046"/>
    </row>
    <row r="83" spans="1:34" s="878" customFormat="1" ht="15" thickBot="1">
      <c r="A83" s="1079" t="s">
        <v>0</v>
      </c>
      <c r="B83" s="1080"/>
      <c r="C83" s="1081"/>
      <c r="D83" s="1082"/>
      <c r="E83" s="1083"/>
      <c r="F83" s="1083"/>
      <c r="G83" s="1083"/>
      <c r="H83" s="1083"/>
      <c r="I83" s="1083"/>
      <c r="J83" s="1084"/>
      <c r="K83" s="1083">
        <f aca="true" t="shared" si="5" ref="K83:S83">SUM(K72:K82)</f>
        <v>13488</v>
      </c>
      <c r="L83" s="1083">
        <f t="shared" si="5"/>
        <v>139488.72</v>
      </c>
      <c r="M83" s="1083">
        <f t="shared" si="5"/>
        <v>102249</v>
      </c>
      <c r="N83" s="1083">
        <f t="shared" si="5"/>
        <v>58627</v>
      </c>
      <c r="O83" s="1083">
        <f t="shared" si="5"/>
        <v>37280</v>
      </c>
      <c r="P83" s="1085">
        <f t="shared" si="5"/>
        <v>12825.61</v>
      </c>
      <c r="Q83" s="1083">
        <f t="shared" si="5"/>
        <v>24365.86</v>
      </c>
      <c r="R83" s="1085">
        <f t="shared" si="5"/>
        <v>20633.9</v>
      </c>
      <c r="S83" s="1085">
        <f t="shared" si="5"/>
        <v>16543.45</v>
      </c>
      <c r="T83" s="1085">
        <f aca="true" t="shared" si="6" ref="T83:Z83">SUM(T72:T82)</f>
        <v>69635.9</v>
      </c>
      <c r="U83" s="1085">
        <f t="shared" si="6"/>
        <v>43106</v>
      </c>
      <c r="V83" s="1085">
        <f t="shared" si="6"/>
        <v>254363</v>
      </c>
      <c r="W83" s="1086">
        <f t="shared" si="6"/>
        <v>332557</v>
      </c>
      <c r="X83" s="1086">
        <f t="shared" si="6"/>
        <v>278546</v>
      </c>
      <c r="Y83" s="1086">
        <f t="shared" si="6"/>
        <v>470270</v>
      </c>
      <c r="Z83" s="1087">
        <f t="shared" si="6"/>
        <v>1873979.4399999997</v>
      </c>
      <c r="AA83" s="1035"/>
      <c r="AB83" s="1046"/>
      <c r="AC83" s="1046"/>
      <c r="AD83" s="1046"/>
      <c r="AE83" s="1046"/>
      <c r="AF83" s="1046"/>
      <c r="AG83" s="1046"/>
      <c r="AH83" s="1046"/>
    </row>
    <row r="84" spans="1:27" s="1046" customFormat="1" ht="15" thickBot="1">
      <c r="A84" s="1088"/>
      <c r="B84" s="1088"/>
      <c r="C84" s="1035"/>
      <c r="D84" s="1035"/>
      <c r="E84" s="1089"/>
      <c r="F84" s="1089"/>
      <c r="G84" s="1089"/>
      <c r="H84" s="1089"/>
      <c r="I84" s="1089"/>
      <c r="J84" s="1090"/>
      <c r="K84" s="1089"/>
      <c r="L84" s="1089"/>
      <c r="M84" s="1089"/>
      <c r="N84" s="1089"/>
      <c r="O84" s="1089"/>
      <c r="P84" s="1089"/>
      <c r="Q84" s="1089"/>
      <c r="R84" s="1089"/>
      <c r="S84" s="1089"/>
      <c r="T84" s="1089"/>
      <c r="U84" s="1089"/>
      <c r="V84" s="1089"/>
      <c r="W84" s="1089"/>
      <c r="X84" s="1089"/>
      <c r="Y84" s="1089"/>
      <c r="Z84" s="1091"/>
      <c r="AA84" s="1035"/>
    </row>
    <row r="85" spans="1:34" s="878" customFormat="1" ht="15.75" thickBot="1">
      <c r="A85" s="1067" t="s">
        <v>175</v>
      </c>
      <c r="B85" s="1068" t="s">
        <v>234</v>
      </c>
      <c r="C85" s="1069"/>
      <c r="D85" s="1069"/>
      <c r="E85" s="1070"/>
      <c r="F85" s="1070"/>
      <c r="G85" s="1070"/>
      <c r="H85" s="1070"/>
      <c r="I85" s="1070"/>
      <c r="J85" s="1092"/>
      <c r="K85" s="1092"/>
      <c r="L85" s="1070"/>
      <c r="M85" s="1070"/>
      <c r="N85" s="1070"/>
      <c r="O85" s="1070"/>
      <c r="P85" s="1070"/>
      <c r="Q85" s="1070"/>
      <c r="R85" s="1070"/>
      <c r="S85" s="1070"/>
      <c r="T85" s="1070"/>
      <c r="U85" s="1070"/>
      <c r="V85" s="1070"/>
      <c r="W85" s="1070"/>
      <c r="X85" s="1070"/>
      <c r="Y85" s="1070"/>
      <c r="Z85" s="1071"/>
      <c r="AA85" s="1046"/>
      <c r="AB85" s="1046"/>
      <c r="AC85" s="1046"/>
      <c r="AD85" s="1046"/>
      <c r="AE85" s="1046"/>
      <c r="AF85" s="1046"/>
      <c r="AG85" s="1046"/>
      <c r="AH85" s="1046"/>
    </row>
    <row r="86" spans="1:34" s="878" customFormat="1" ht="14.25">
      <c r="A86" s="1029">
        <v>1</v>
      </c>
      <c r="B86" s="1030" t="s">
        <v>235</v>
      </c>
      <c r="C86" s="1031"/>
      <c r="D86" s="1031"/>
      <c r="E86" s="1032"/>
      <c r="F86" s="1032"/>
      <c r="G86" s="1032"/>
      <c r="H86" s="1032"/>
      <c r="I86" s="1030"/>
      <c r="J86" s="1030"/>
      <c r="K86" s="1030"/>
      <c r="L86" s="1032">
        <v>281.1</v>
      </c>
      <c r="M86" s="1032">
        <v>856</v>
      </c>
      <c r="N86" s="1032">
        <v>36591.3</v>
      </c>
      <c r="O86" s="1032">
        <v>491</v>
      </c>
      <c r="P86" s="1032">
        <v>179.5</v>
      </c>
      <c r="Q86" s="1032">
        <v>567.9</v>
      </c>
      <c r="R86" s="1032">
        <v>632</v>
      </c>
      <c r="S86" s="1032">
        <v>924</v>
      </c>
      <c r="T86" s="1032">
        <v>1318.67</v>
      </c>
      <c r="U86" s="1032">
        <v>1268</v>
      </c>
      <c r="V86" s="1032">
        <v>2798</v>
      </c>
      <c r="W86" s="1032">
        <v>3663</v>
      </c>
      <c r="X86" s="1033">
        <v>1624</v>
      </c>
      <c r="Y86" s="1033">
        <v>2051</v>
      </c>
      <c r="Z86" s="1034">
        <f>SUM(C86:Y86)</f>
        <v>53245.47</v>
      </c>
      <c r="AA86" s="1046"/>
      <c r="AB86" s="1046"/>
      <c r="AC86" s="1046"/>
      <c r="AD86" s="1046"/>
      <c r="AE86" s="1045"/>
      <c r="AF86" s="1046"/>
      <c r="AG86" s="1046"/>
      <c r="AH86" s="1046"/>
    </row>
    <row r="87" spans="1:34" s="878" customFormat="1" ht="14.25">
      <c r="A87" s="1037">
        <f aca="true" t="shared" si="7" ref="A87:A99">A86+1</f>
        <v>2</v>
      </c>
      <c r="B87" s="1038" t="s">
        <v>298</v>
      </c>
      <c r="C87" s="1044"/>
      <c r="D87" s="1044"/>
      <c r="E87" s="1041"/>
      <c r="F87" s="1041"/>
      <c r="G87" s="1041"/>
      <c r="H87" s="1041"/>
      <c r="I87" s="1041"/>
      <c r="J87" s="1041"/>
      <c r="K87" s="1041"/>
      <c r="L87" s="1041"/>
      <c r="M87" s="1041">
        <v>222</v>
      </c>
      <c r="N87" s="1041">
        <v>239</v>
      </c>
      <c r="O87" s="1041">
        <v>509</v>
      </c>
      <c r="P87" s="1041">
        <v>458</v>
      </c>
      <c r="Q87" s="1041">
        <v>1588</v>
      </c>
      <c r="R87" s="1041">
        <v>4575</v>
      </c>
      <c r="S87" s="1041">
        <v>1826</v>
      </c>
      <c r="T87" s="1041">
        <v>1004</v>
      </c>
      <c r="U87" s="1041">
        <v>900</v>
      </c>
      <c r="V87" s="1041">
        <v>1196</v>
      </c>
      <c r="W87" s="1041">
        <v>1345</v>
      </c>
      <c r="X87" s="1042">
        <v>1664</v>
      </c>
      <c r="Y87" s="1042">
        <v>3282</v>
      </c>
      <c r="Z87" s="1043">
        <f aca="true" t="shared" si="8" ref="Z87:Z99">SUM(C87:Y87)</f>
        <v>18808</v>
      </c>
      <c r="AA87" s="1045"/>
      <c r="AB87" s="1045"/>
      <c r="AC87" s="1045"/>
      <c r="AD87" s="1046"/>
      <c r="AE87" s="1045"/>
      <c r="AF87" s="1046"/>
      <c r="AG87" s="1046"/>
      <c r="AH87" s="1046"/>
    </row>
    <row r="88" spans="1:34" s="878" customFormat="1" ht="14.25">
      <c r="A88" s="1037">
        <f t="shared" si="7"/>
        <v>3</v>
      </c>
      <c r="B88" s="1038" t="s">
        <v>236</v>
      </c>
      <c r="C88" s="1044"/>
      <c r="D88" s="1044"/>
      <c r="E88" s="1041"/>
      <c r="F88" s="1041"/>
      <c r="G88" s="1041">
        <f>9021</f>
        <v>9021</v>
      </c>
      <c r="H88" s="1041">
        <v>23889</v>
      </c>
      <c r="I88" s="1041">
        <v>53642</v>
      </c>
      <c r="J88" s="1041">
        <v>56848</v>
      </c>
      <c r="K88" s="1041">
        <v>30900</v>
      </c>
      <c r="L88" s="1041">
        <v>41037</v>
      </c>
      <c r="M88" s="1041">
        <v>36000</v>
      </c>
      <c r="N88" s="1041">
        <v>40011</v>
      </c>
      <c r="O88" s="1041">
        <v>30160</v>
      </c>
      <c r="P88" s="1041">
        <v>22213</v>
      </c>
      <c r="Q88" s="1041">
        <v>18722</v>
      </c>
      <c r="R88" s="1041">
        <v>27752</v>
      </c>
      <c r="S88" s="1041">
        <v>38969</v>
      </c>
      <c r="T88" s="1041">
        <v>43501</v>
      </c>
      <c r="U88" s="1041">
        <v>69483</v>
      </c>
      <c r="V88" s="1041">
        <v>61766</v>
      </c>
      <c r="W88" s="1041">
        <v>48070</v>
      </c>
      <c r="X88" s="1042">
        <v>80274</v>
      </c>
      <c r="Y88" s="1042">
        <v>112415</v>
      </c>
      <c r="Z88" s="1043">
        <f t="shared" si="8"/>
        <v>844673</v>
      </c>
      <c r="AA88" s="1045"/>
      <c r="AB88" s="1045"/>
      <c r="AC88" s="1045"/>
      <c r="AD88" s="1046"/>
      <c r="AE88" s="1045"/>
      <c r="AF88" s="1046"/>
      <c r="AG88" s="1046"/>
      <c r="AH88" s="1046"/>
    </row>
    <row r="89" spans="1:34" s="878" customFormat="1" ht="14.25" customHeight="1">
      <c r="A89" s="1037">
        <f t="shared" si="7"/>
        <v>4</v>
      </c>
      <c r="B89" s="1038" t="s">
        <v>237</v>
      </c>
      <c r="C89" s="1044"/>
      <c r="D89" s="1044"/>
      <c r="E89" s="1041"/>
      <c r="F89" s="1041"/>
      <c r="G89" s="1041"/>
      <c r="H89" s="1041"/>
      <c r="I89" s="1041"/>
      <c r="J89" s="1041"/>
      <c r="K89" s="1041"/>
      <c r="L89" s="1041"/>
      <c r="M89" s="1041">
        <v>24</v>
      </c>
      <c r="N89" s="1041"/>
      <c r="O89" s="1041"/>
      <c r="P89" s="1041"/>
      <c r="Q89" s="1041"/>
      <c r="R89" s="1041"/>
      <c r="S89" s="1041"/>
      <c r="T89" s="1041"/>
      <c r="U89" s="1041"/>
      <c r="V89" s="1041"/>
      <c r="W89" s="1041">
        <v>35</v>
      </c>
      <c r="X89" s="1042">
        <v>26.6</v>
      </c>
      <c r="Y89" s="1042">
        <v>70</v>
      </c>
      <c r="Z89" s="1043">
        <f t="shared" si="8"/>
        <v>155.6</v>
      </c>
      <c r="AA89" s="1046"/>
      <c r="AB89" s="1046"/>
      <c r="AC89" s="1046"/>
      <c r="AD89" s="1046"/>
      <c r="AE89" s="1046"/>
      <c r="AF89" s="1046"/>
      <c r="AG89" s="1046"/>
      <c r="AH89" s="1046"/>
    </row>
    <row r="90" spans="1:34" s="878" customFormat="1" ht="14.25">
      <c r="A90" s="1037">
        <f t="shared" si="7"/>
        <v>5</v>
      </c>
      <c r="B90" s="1038" t="s">
        <v>238</v>
      </c>
      <c r="C90" s="1044"/>
      <c r="D90" s="1044"/>
      <c r="E90" s="1041"/>
      <c r="F90" s="1041"/>
      <c r="G90" s="1041"/>
      <c r="H90" s="1041"/>
      <c r="I90" s="1038"/>
      <c r="J90" s="1038"/>
      <c r="K90" s="1041">
        <v>1285</v>
      </c>
      <c r="L90" s="1041">
        <v>1190</v>
      </c>
      <c r="M90" s="1041">
        <v>20337</v>
      </c>
      <c r="N90" s="1041">
        <v>2232</v>
      </c>
      <c r="O90" s="1041"/>
      <c r="P90" s="1041"/>
      <c r="Q90" s="1041"/>
      <c r="R90" s="1041"/>
      <c r="S90" s="1041"/>
      <c r="T90" s="1041"/>
      <c r="U90" s="1041"/>
      <c r="V90" s="1041"/>
      <c r="W90" s="1041"/>
      <c r="X90" s="1042"/>
      <c r="Y90" s="1042"/>
      <c r="Z90" s="1043">
        <f t="shared" si="8"/>
        <v>25044</v>
      </c>
      <c r="AA90" s="1045"/>
      <c r="AB90" s="1045"/>
      <c r="AC90" s="1045"/>
      <c r="AD90" s="1045"/>
      <c r="AE90" s="1045"/>
      <c r="AF90" s="1045"/>
      <c r="AG90" s="1045"/>
      <c r="AH90" s="1046"/>
    </row>
    <row r="91" spans="1:34" s="878" customFormat="1" ht="14.25">
      <c r="A91" s="1037">
        <f t="shared" si="7"/>
        <v>6</v>
      </c>
      <c r="B91" s="1038" t="s">
        <v>239</v>
      </c>
      <c r="C91" s="1044"/>
      <c r="D91" s="1044"/>
      <c r="E91" s="1041"/>
      <c r="F91" s="1041"/>
      <c r="G91" s="1041"/>
      <c r="H91" s="1041"/>
      <c r="I91" s="1038"/>
      <c r="J91" s="1041">
        <v>3330</v>
      </c>
      <c r="K91" s="1041">
        <v>4169</v>
      </c>
      <c r="L91" s="1041">
        <v>2487</v>
      </c>
      <c r="M91" s="1041">
        <v>3356</v>
      </c>
      <c r="N91" s="1041">
        <v>1847</v>
      </c>
      <c r="O91" s="1041">
        <v>935</v>
      </c>
      <c r="P91" s="1041">
        <v>586</v>
      </c>
      <c r="Q91" s="1041">
        <v>236</v>
      </c>
      <c r="R91" s="1041">
        <v>1495.08</v>
      </c>
      <c r="S91" s="1041">
        <v>2109</v>
      </c>
      <c r="T91" s="1041">
        <v>2243</v>
      </c>
      <c r="U91" s="1041">
        <v>14750</v>
      </c>
      <c r="V91" s="1041">
        <v>15656</v>
      </c>
      <c r="W91" s="1041">
        <v>11111</v>
      </c>
      <c r="X91" s="1042">
        <v>6826</v>
      </c>
      <c r="Y91" s="1042">
        <v>7109</v>
      </c>
      <c r="Z91" s="1043">
        <f t="shared" si="8"/>
        <v>78245.08</v>
      </c>
      <c r="AA91" s="1046"/>
      <c r="AB91" s="1046"/>
      <c r="AC91" s="1046"/>
      <c r="AD91" s="1046"/>
      <c r="AE91" s="1046"/>
      <c r="AF91" s="1046"/>
      <c r="AG91" s="1046"/>
      <c r="AH91" s="1046"/>
    </row>
    <row r="92" spans="1:34" s="878" customFormat="1" ht="14.25">
      <c r="A92" s="1037">
        <f t="shared" si="7"/>
        <v>7</v>
      </c>
      <c r="B92" s="1038" t="s">
        <v>240</v>
      </c>
      <c r="C92" s="1044"/>
      <c r="D92" s="1044"/>
      <c r="E92" s="1041"/>
      <c r="F92" s="1041"/>
      <c r="G92" s="1041"/>
      <c r="H92" s="1041"/>
      <c r="I92" s="1041"/>
      <c r="J92" s="1041"/>
      <c r="K92" s="1041">
        <v>11467</v>
      </c>
      <c r="L92" s="1041">
        <v>11192</v>
      </c>
      <c r="M92" s="1041">
        <v>4478</v>
      </c>
      <c r="N92" s="1041">
        <v>1605</v>
      </c>
      <c r="O92" s="1041"/>
      <c r="P92" s="1041"/>
      <c r="Q92" s="1041"/>
      <c r="R92" s="1041"/>
      <c r="S92" s="1041"/>
      <c r="T92" s="1041"/>
      <c r="U92" s="1041"/>
      <c r="V92" s="1041"/>
      <c r="W92" s="1041"/>
      <c r="X92" s="1042"/>
      <c r="Y92" s="1042"/>
      <c r="Z92" s="1043">
        <f t="shared" si="8"/>
        <v>28742</v>
      </c>
      <c r="AA92" s="1046"/>
      <c r="AB92" s="1046"/>
      <c r="AC92" s="1046"/>
      <c r="AD92" s="1046"/>
      <c r="AE92" s="1046"/>
      <c r="AF92" s="1046"/>
      <c r="AG92" s="1046"/>
      <c r="AH92" s="1046"/>
    </row>
    <row r="93" spans="1:34" s="878" customFormat="1" ht="14.25">
      <c r="A93" s="1037">
        <f t="shared" si="7"/>
        <v>8</v>
      </c>
      <c r="B93" s="1038" t="s">
        <v>241</v>
      </c>
      <c r="C93" s="1044"/>
      <c r="D93" s="1044"/>
      <c r="E93" s="1041"/>
      <c r="F93" s="1041"/>
      <c r="G93" s="1041"/>
      <c r="H93" s="1041"/>
      <c r="I93" s="1038"/>
      <c r="J93" s="1038"/>
      <c r="K93" s="1041">
        <v>4179</v>
      </c>
      <c r="L93" s="1041">
        <v>2379</v>
      </c>
      <c r="M93" s="1041">
        <v>1878</v>
      </c>
      <c r="N93" s="1041">
        <v>1970.4</v>
      </c>
      <c r="O93" s="1041"/>
      <c r="P93" s="1041"/>
      <c r="Q93" s="1041"/>
      <c r="R93" s="1041"/>
      <c r="S93" s="1041"/>
      <c r="T93" s="1041"/>
      <c r="U93" s="1041"/>
      <c r="V93" s="1041"/>
      <c r="W93" s="1041"/>
      <c r="X93" s="1042"/>
      <c r="Y93" s="1042"/>
      <c r="Z93" s="1043">
        <f t="shared" si="8"/>
        <v>10406.4</v>
      </c>
      <c r="AA93" s="1045"/>
      <c r="AB93" s="1045"/>
      <c r="AC93" s="1045"/>
      <c r="AD93" s="1046"/>
      <c r="AE93" s="1046"/>
      <c r="AF93" s="1046"/>
      <c r="AG93" s="1046"/>
      <c r="AH93" s="1046"/>
    </row>
    <row r="94" spans="1:60" s="878" customFormat="1" ht="14.25" customHeight="1">
      <c r="A94" s="1037">
        <f t="shared" si="7"/>
        <v>9</v>
      </c>
      <c r="B94" s="1093" t="s">
        <v>242</v>
      </c>
      <c r="C94" s="1044"/>
      <c r="D94" s="1044"/>
      <c r="E94" s="1041"/>
      <c r="F94" s="1041"/>
      <c r="G94" s="1041"/>
      <c r="H94" s="1041"/>
      <c r="I94" s="1041"/>
      <c r="J94" s="1041"/>
      <c r="K94" s="1041"/>
      <c r="L94" s="1041">
        <v>17</v>
      </c>
      <c r="M94" s="1041">
        <v>13</v>
      </c>
      <c r="N94" s="1041">
        <v>2.49</v>
      </c>
      <c r="O94" s="1041"/>
      <c r="P94" s="1041"/>
      <c r="Q94" s="1041"/>
      <c r="R94" s="1041"/>
      <c r="S94" s="1041"/>
      <c r="T94" s="1041"/>
      <c r="U94" s="1041"/>
      <c r="V94" s="1041"/>
      <c r="W94" s="1041"/>
      <c r="X94" s="1042"/>
      <c r="Y94" s="1042"/>
      <c r="Z94" s="1043">
        <f t="shared" si="8"/>
        <v>32.49</v>
      </c>
      <c r="AA94" s="1045"/>
      <c r="AB94" s="1045"/>
      <c r="AC94" s="1045"/>
      <c r="AD94" s="1045"/>
      <c r="AE94" s="1045"/>
      <c r="AF94" s="1045"/>
      <c r="AG94" s="1045"/>
      <c r="AH94" s="1045"/>
      <c r="AJ94" s="1094"/>
      <c r="AK94" s="1094"/>
      <c r="AL94" s="1094"/>
      <c r="AM94" s="1094"/>
      <c r="AN94" s="1094"/>
      <c r="AO94" s="1094"/>
      <c r="AP94" s="1094"/>
      <c r="AQ94" s="1094"/>
      <c r="AR94" s="1094"/>
      <c r="AS94" s="1094"/>
      <c r="AT94" s="1094"/>
      <c r="AU94" s="1094"/>
      <c r="AV94" s="1094"/>
      <c r="AW94" s="1094"/>
      <c r="AX94" s="1094"/>
      <c r="AY94" s="1094"/>
      <c r="AZ94" s="1094"/>
      <c r="BA94" s="1094"/>
      <c r="BB94" s="1094"/>
      <c r="BC94" s="1094"/>
      <c r="BD94" s="1094"/>
      <c r="BE94" s="1094"/>
      <c r="BF94" s="1094"/>
      <c r="BG94" s="1094"/>
      <c r="BH94" s="1094"/>
    </row>
    <row r="95" spans="1:60" s="878" customFormat="1" ht="12.75" customHeight="1">
      <c r="A95" s="1095">
        <f t="shared" si="7"/>
        <v>10</v>
      </c>
      <c r="B95" s="1093" t="s">
        <v>243</v>
      </c>
      <c r="C95" s="1044"/>
      <c r="D95" s="1044"/>
      <c r="E95" s="1041"/>
      <c r="F95" s="1041"/>
      <c r="G95" s="1041"/>
      <c r="H95" s="1041"/>
      <c r="I95" s="1041"/>
      <c r="J95" s="1041"/>
      <c r="K95" s="1041"/>
      <c r="L95" s="1041"/>
      <c r="M95" s="1041">
        <v>160</v>
      </c>
      <c r="N95" s="1041"/>
      <c r="O95" s="1041">
        <v>85</v>
      </c>
      <c r="P95" s="1041"/>
      <c r="Q95" s="1041"/>
      <c r="R95" s="1041"/>
      <c r="S95" s="1041"/>
      <c r="T95" s="1041"/>
      <c r="U95" s="1041"/>
      <c r="V95" s="1041"/>
      <c r="W95" s="1041"/>
      <c r="X95" s="1042"/>
      <c r="Y95" s="1042"/>
      <c r="Z95" s="1043">
        <f t="shared" si="8"/>
        <v>245</v>
      </c>
      <c r="AA95" s="1045"/>
      <c r="AB95" s="1045"/>
      <c r="AC95" s="1045"/>
      <c r="AD95" s="1045"/>
      <c r="AE95" s="1045"/>
      <c r="AF95" s="1045"/>
      <c r="AG95" s="1045"/>
      <c r="AH95" s="1045"/>
      <c r="AJ95" s="1094"/>
      <c r="AK95" s="1094"/>
      <c r="AL95" s="1094"/>
      <c r="AM95" s="1094"/>
      <c r="AN95" s="1094"/>
      <c r="AO95" s="1094"/>
      <c r="AP95" s="1094"/>
      <c r="AQ95" s="1094"/>
      <c r="AR95" s="1094"/>
      <c r="AS95" s="1094"/>
      <c r="AT95" s="1094"/>
      <c r="AU95" s="1094"/>
      <c r="AV95" s="1094"/>
      <c r="AW95" s="1094"/>
      <c r="AX95" s="1094"/>
      <c r="AY95" s="1094"/>
      <c r="AZ95" s="1094"/>
      <c r="BA95" s="1094"/>
      <c r="BB95" s="1094"/>
      <c r="BC95" s="1094"/>
      <c r="BD95" s="1094"/>
      <c r="BE95" s="1094"/>
      <c r="BF95" s="1094"/>
      <c r="BG95" s="1094"/>
      <c r="BH95" s="1094"/>
    </row>
    <row r="96" spans="1:60" s="878" customFormat="1" ht="13.5" customHeight="1">
      <c r="A96" s="1095">
        <f t="shared" si="7"/>
        <v>11</v>
      </c>
      <c r="B96" s="1093" t="s">
        <v>244</v>
      </c>
      <c r="C96" s="1044"/>
      <c r="D96" s="1044"/>
      <c r="E96" s="1041"/>
      <c r="F96" s="1041"/>
      <c r="G96" s="1041"/>
      <c r="H96" s="1041"/>
      <c r="I96" s="1041">
        <v>11.71</v>
      </c>
      <c r="J96" s="1041">
        <v>8.96</v>
      </c>
      <c r="K96" s="1041">
        <v>8.96</v>
      </c>
      <c r="L96" s="1041">
        <v>37.43</v>
      </c>
      <c r="M96" s="1041">
        <v>133</v>
      </c>
      <c r="N96" s="1041"/>
      <c r="O96" s="1041"/>
      <c r="P96" s="1041"/>
      <c r="Q96" s="1041"/>
      <c r="R96" s="1041"/>
      <c r="S96" s="1041"/>
      <c r="T96" s="1041"/>
      <c r="U96" s="1041"/>
      <c r="V96" s="1041"/>
      <c r="W96" s="1041"/>
      <c r="X96" s="1042"/>
      <c r="Y96" s="1042"/>
      <c r="Z96" s="1043">
        <f t="shared" si="8"/>
        <v>200.06</v>
      </c>
      <c r="AA96" s="1045"/>
      <c r="AB96" s="1045"/>
      <c r="AC96" s="1045"/>
      <c r="AD96" s="1045"/>
      <c r="AE96" s="1045"/>
      <c r="AF96" s="1045"/>
      <c r="AG96" s="1045"/>
      <c r="AH96" s="1045"/>
      <c r="AJ96" s="1094"/>
      <c r="AK96" s="1094"/>
      <c r="AL96" s="1094"/>
      <c r="AM96" s="1094"/>
      <c r="AN96" s="1094"/>
      <c r="AO96" s="1094"/>
      <c r="AP96" s="1094"/>
      <c r="AQ96" s="1094"/>
      <c r="AR96" s="1094"/>
      <c r="AS96" s="1094"/>
      <c r="AT96" s="1094"/>
      <c r="AU96" s="1094"/>
      <c r="AV96" s="1094"/>
      <c r="AW96" s="1094"/>
      <c r="AX96" s="1094"/>
      <c r="AY96" s="1094"/>
      <c r="AZ96" s="1094"/>
      <c r="BA96" s="1094"/>
      <c r="BB96" s="1094"/>
      <c r="BC96" s="1094"/>
      <c r="BD96" s="1094"/>
      <c r="BE96" s="1094"/>
      <c r="BF96" s="1094"/>
      <c r="BG96" s="1094"/>
      <c r="BH96" s="1094"/>
    </row>
    <row r="97" spans="1:60" s="878" customFormat="1" ht="13.5" customHeight="1">
      <c r="A97" s="1095">
        <f t="shared" si="7"/>
        <v>12</v>
      </c>
      <c r="B97" s="1038" t="s">
        <v>245</v>
      </c>
      <c r="C97" s="1044"/>
      <c r="D97" s="1044"/>
      <c r="E97" s="1041"/>
      <c r="F97" s="1041"/>
      <c r="G97" s="1041"/>
      <c r="H97" s="1041"/>
      <c r="I97" s="1038"/>
      <c r="J97" s="1038"/>
      <c r="K97" s="1041">
        <v>1196</v>
      </c>
      <c r="L97" s="1041"/>
      <c r="M97" s="1041">
        <v>28761</v>
      </c>
      <c r="N97" s="1041">
        <v>4799</v>
      </c>
      <c r="O97" s="1041"/>
      <c r="P97" s="1041"/>
      <c r="Q97" s="1041"/>
      <c r="R97" s="1041"/>
      <c r="S97" s="1041"/>
      <c r="T97" s="1041"/>
      <c r="U97" s="1041"/>
      <c r="V97" s="1041"/>
      <c r="W97" s="1041"/>
      <c r="X97" s="1096"/>
      <c r="Y97" s="1096"/>
      <c r="Z97" s="1043">
        <f t="shared" si="8"/>
        <v>34756</v>
      </c>
      <c r="AA97" s="1045"/>
      <c r="AB97" s="1045"/>
      <c r="AC97" s="1045"/>
      <c r="AD97" s="1045"/>
      <c r="AE97" s="1045"/>
      <c r="AF97" s="1045"/>
      <c r="AG97" s="1045"/>
      <c r="AH97" s="1045"/>
      <c r="AJ97" s="1094"/>
      <c r="AK97" s="1094"/>
      <c r="AL97" s="1094"/>
      <c r="AM97" s="1094"/>
      <c r="AN97" s="1094"/>
      <c r="AO97" s="1094"/>
      <c r="AP97" s="1094"/>
      <c r="AQ97" s="1094"/>
      <c r="AR97" s="1094"/>
      <c r="AS97" s="1094"/>
      <c r="AT97" s="1094"/>
      <c r="AU97" s="1094"/>
      <c r="AV97" s="1094"/>
      <c r="AW97" s="1094"/>
      <c r="AX97" s="1094"/>
      <c r="AY97" s="1094"/>
      <c r="AZ97" s="1094"/>
      <c r="BA97" s="1094"/>
      <c r="BB97" s="1094"/>
      <c r="BC97" s="1094"/>
      <c r="BD97" s="1094"/>
      <c r="BE97" s="1094"/>
      <c r="BF97" s="1094"/>
      <c r="BG97" s="1094"/>
      <c r="BH97" s="1094"/>
    </row>
    <row r="98" spans="1:60" s="878" customFormat="1" ht="12.75" customHeight="1">
      <c r="A98" s="1095">
        <f t="shared" si="7"/>
        <v>13</v>
      </c>
      <c r="B98" s="1038" t="s">
        <v>246</v>
      </c>
      <c r="C98" s="1044"/>
      <c r="D98" s="1044"/>
      <c r="E98" s="1041"/>
      <c r="F98" s="1041"/>
      <c r="G98" s="1041">
        <f>19854</f>
        <v>19854</v>
      </c>
      <c r="H98" s="1041">
        <v>34628</v>
      </c>
      <c r="I98" s="1041">
        <v>44516</v>
      </c>
      <c r="J98" s="1038">
        <v>39342</v>
      </c>
      <c r="K98" s="1041">
        <v>41203</v>
      </c>
      <c r="L98" s="1041">
        <v>28805</v>
      </c>
      <c r="M98" s="1041">
        <v>26900</v>
      </c>
      <c r="N98" s="1041">
        <v>29419</v>
      </c>
      <c r="O98" s="1041">
        <v>32841</v>
      </c>
      <c r="P98" s="1041">
        <v>24802</v>
      </c>
      <c r="Q98" s="1041">
        <v>30507</v>
      </c>
      <c r="R98" s="1041">
        <v>36249</v>
      </c>
      <c r="S98" s="1041">
        <v>29711</v>
      </c>
      <c r="T98" s="1041">
        <v>37114</v>
      </c>
      <c r="U98" s="1041">
        <v>47135</v>
      </c>
      <c r="V98" s="1041">
        <v>46481</v>
      </c>
      <c r="W98" s="1041">
        <v>43994</v>
      </c>
      <c r="X98" s="1042">
        <v>60580</v>
      </c>
      <c r="Y98" s="1042">
        <v>126057</v>
      </c>
      <c r="Z98" s="1043">
        <f t="shared" si="8"/>
        <v>780138</v>
      </c>
      <c r="AA98" s="1045"/>
      <c r="AB98" s="1045"/>
      <c r="AC98" s="1045"/>
      <c r="AD98" s="1045"/>
      <c r="AE98" s="1045"/>
      <c r="AF98" s="1045"/>
      <c r="AG98" s="1045"/>
      <c r="AH98" s="1045"/>
      <c r="AJ98" s="1094"/>
      <c r="AK98" s="1094"/>
      <c r="AL98" s="1094"/>
      <c r="AM98" s="1094"/>
      <c r="AN98" s="1094"/>
      <c r="AO98" s="1094"/>
      <c r="AP98" s="1094"/>
      <c r="AQ98" s="1094"/>
      <c r="AR98" s="1094"/>
      <c r="AS98" s="1094"/>
      <c r="AT98" s="1094"/>
      <c r="AU98" s="1094"/>
      <c r="AV98" s="1094"/>
      <c r="AW98" s="1094"/>
      <c r="AX98" s="1094"/>
      <c r="AY98" s="1094"/>
      <c r="AZ98" s="1094"/>
      <c r="BA98" s="1094"/>
      <c r="BB98" s="1094"/>
      <c r="BC98" s="1094"/>
      <c r="BD98" s="1094"/>
      <c r="BE98" s="1094"/>
      <c r="BF98" s="1094"/>
      <c r="BG98" s="1094"/>
      <c r="BH98" s="1094"/>
    </row>
    <row r="99" spans="1:60" s="878" customFormat="1" ht="15" customHeight="1" thickBot="1">
      <c r="A99" s="1097">
        <f t="shared" si="7"/>
        <v>14</v>
      </c>
      <c r="B99" s="1098" t="s">
        <v>247</v>
      </c>
      <c r="C99" s="1099"/>
      <c r="D99" s="1099"/>
      <c r="E99" s="1100"/>
      <c r="F99" s="1100"/>
      <c r="G99" s="1100"/>
      <c r="H99" s="1100"/>
      <c r="I99" s="1100"/>
      <c r="J99" s="1100"/>
      <c r="K99" s="1100"/>
      <c r="L99" s="1100"/>
      <c r="M99" s="1100"/>
      <c r="N99" s="1100"/>
      <c r="O99" s="1100"/>
      <c r="P99" s="1100"/>
      <c r="Q99" s="1100"/>
      <c r="R99" s="1100"/>
      <c r="S99" s="1100"/>
      <c r="T99" s="1100"/>
      <c r="U99" s="1100"/>
      <c r="V99" s="1100">
        <v>36</v>
      </c>
      <c r="W99" s="1100">
        <v>4457</v>
      </c>
      <c r="X99" s="1101">
        <v>18</v>
      </c>
      <c r="Y99" s="1101">
        <v>37.2</v>
      </c>
      <c r="Z99" s="1102">
        <f t="shared" si="8"/>
        <v>4548.2</v>
      </c>
      <c r="AA99" s="1045"/>
      <c r="AB99" s="1045"/>
      <c r="AC99" s="1045"/>
      <c r="AD99" s="1045"/>
      <c r="AE99" s="1045"/>
      <c r="AF99" s="1045"/>
      <c r="AG99" s="1045"/>
      <c r="AH99" s="1045"/>
      <c r="AJ99" s="1094"/>
      <c r="AK99" s="1094"/>
      <c r="AL99" s="1094"/>
      <c r="AM99" s="1094"/>
      <c r="AN99" s="1094"/>
      <c r="AO99" s="1094"/>
      <c r="AP99" s="1094"/>
      <c r="AQ99" s="1094"/>
      <c r="AR99" s="1094"/>
      <c r="AS99" s="1094"/>
      <c r="AT99" s="1094"/>
      <c r="AU99" s="1094"/>
      <c r="AV99" s="1094"/>
      <c r="AW99" s="1094"/>
      <c r="AX99" s="1094"/>
      <c r="AY99" s="1094"/>
      <c r="AZ99" s="1094"/>
      <c r="BA99" s="1094"/>
      <c r="BB99" s="1094"/>
      <c r="BC99" s="1094"/>
      <c r="BD99" s="1094"/>
      <c r="BE99" s="1094"/>
      <c r="BF99" s="1094"/>
      <c r="BG99" s="1094"/>
      <c r="BH99" s="1094"/>
    </row>
    <row r="100" spans="1:34" ht="15" thickBot="1">
      <c r="A100" s="1103" t="s">
        <v>12</v>
      </c>
      <c r="B100" s="1104"/>
      <c r="C100" s="1105"/>
      <c r="D100" s="1056"/>
      <c r="E100" s="1057"/>
      <c r="F100" s="1057"/>
      <c r="G100" s="1057">
        <f aca="true" t="shared" si="9" ref="G100:Z100">SUM(G86:G99)</f>
        <v>28875</v>
      </c>
      <c r="H100" s="1057">
        <f t="shared" si="9"/>
        <v>58517</v>
      </c>
      <c r="I100" s="1057">
        <f t="shared" si="9"/>
        <v>98169.70999999999</v>
      </c>
      <c r="J100" s="1057">
        <f t="shared" si="9"/>
        <v>99528.95999999999</v>
      </c>
      <c r="K100" s="1057">
        <f t="shared" si="9"/>
        <v>94407.95999999999</v>
      </c>
      <c r="L100" s="1057">
        <f t="shared" si="9"/>
        <v>87425.53</v>
      </c>
      <c r="M100" s="1057">
        <f t="shared" si="9"/>
        <v>123118</v>
      </c>
      <c r="N100" s="1057">
        <f t="shared" si="9"/>
        <v>118716.19</v>
      </c>
      <c r="O100" s="1057">
        <f t="shared" si="9"/>
        <v>65021</v>
      </c>
      <c r="P100" s="1058">
        <f t="shared" si="9"/>
        <v>48238.5</v>
      </c>
      <c r="Q100" s="1057">
        <f t="shared" si="9"/>
        <v>51620.9</v>
      </c>
      <c r="R100" s="1058">
        <f t="shared" si="9"/>
        <v>70703.08</v>
      </c>
      <c r="S100" s="1058">
        <f t="shared" si="9"/>
        <v>73539</v>
      </c>
      <c r="T100" s="1058">
        <f t="shared" si="9"/>
        <v>85180.67</v>
      </c>
      <c r="U100" s="1058">
        <f t="shared" si="9"/>
        <v>133536</v>
      </c>
      <c r="V100" s="1058">
        <f t="shared" si="9"/>
        <v>127933</v>
      </c>
      <c r="W100" s="1058">
        <f>SUM(W86:W99)</f>
        <v>112675</v>
      </c>
      <c r="X100" s="1058">
        <f>SUM(X86:X99)</f>
        <v>151012.6</v>
      </c>
      <c r="Y100" s="1058">
        <f>SUM(Y86:Y99)</f>
        <v>251021.2</v>
      </c>
      <c r="Z100" s="1059">
        <f t="shared" si="9"/>
        <v>1879239.2999999998</v>
      </c>
      <c r="AA100" s="1060"/>
      <c r="AB100" s="1060"/>
      <c r="AC100" s="1060"/>
      <c r="AD100" s="1060"/>
      <c r="AE100" s="1060"/>
      <c r="AF100" s="1060"/>
      <c r="AG100" s="1060"/>
      <c r="AH100" s="1060"/>
    </row>
    <row r="101" spans="1:34" ht="15" thickBot="1">
      <c r="A101" s="1106"/>
      <c r="B101" s="1107"/>
      <c r="C101" s="1060"/>
      <c r="D101" s="1060"/>
      <c r="E101" s="1108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8"/>
      <c r="Y101" s="1108"/>
      <c r="Z101" s="1108"/>
      <c r="AA101" s="1060"/>
      <c r="AB101" s="1060"/>
      <c r="AC101" s="1060"/>
      <c r="AD101" s="1060"/>
      <c r="AE101" s="1060"/>
      <c r="AF101" s="1060"/>
      <c r="AG101" s="1060"/>
      <c r="AH101" s="1060"/>
    </row>
    <row r="102" spans="1:34" ht="15" thickBot="1">
      <c r="A102" s="1053" t="s">
        <v>33</v>
      </c>
      <c r="B102" s="1054"/>
      <c r="C102" s="1055"/>
      <c r="D102" s="1056"/>
      <c r="E102" s="1109"/>
      <c r="F102" s="1109"/>
      <c r="G102" s="1109">
        <f aca="true" t="shared" si="10" ref="G102:Z102">G69+G83+G100</f>
        <v>60353.89</v>
      </c>
      <c r="H102" s="1109">
        <f t="shared" si="10"/>
        <v>66151.63</v>
      </c>
      <c r="I102" s="1109">
        <f t="shared" si="10"/>
        <v>195777.16999999998</v>
      </c>
      <c r="J102" s="1109">
        <f t="shared" si="10"/>
        <v>339068.91500000004</v>
      </c>
      <c r="K102" s="1109">
        <f t="shared" si="10"/>
        <v>358242.088</v>
      </c>
      <c r="L102" s="1109">
        <f t="shared" si="10"/>
        <v>507365.669</v>
      </c>
      <c r="M102" s="1109">
        <f t="shared" si="10"/>
        <v>433589</v>
      </c>
      <c r="N102" s="1109">
        <f t="shared" si="10"/>
        <v>196171.29</v>
      </c>
      <c r="O102" s="1109">
        <f t="shared" si="10"/>
        <v>120021</v>
      </c>
      <c r="P102" s="1110">
        <f t="shared" si="10"/>
        <v>72152.11</v>
      </c>
      <c r="Q102" s="1109">
        <f t="shared" si="10"/>
        <v>165063.76</v>
      </c>
      <c r="R102" s="1110">
        <f t="shared" si="10"/>
        <v>229882.97999999998</v>
      </c>
      <c r="S102" s="1110">
        <f t="shared" si="10"/>
        <v>340198.45</v>
      </c>
      <c r="T102" s="1110">
        <f t="shared" si="10"/>
        <v>388508.57</v>
      </c>
      <c r="U102" s="1110">
        <f t="shared" si="10"/>
        <v>619206</v>
      </c>
      <c r="V102" s="1110">
        <f t="shared" si="10"/>
        <v>719579</v>
      </c>
      <c r="W102" s="1110">
        <f>W69+W83+W100</f>
        <v>978752</v>
      </c>
      <c r="X102" s="1110">
        <f>X69+X83+X100</f>
        <v>1641750.9652000002</v>
      </c>
      <c r="Y102" s="1110">
        <f>Y69+Y83+Y100</f>
        <v>2467420.8604500005</v>
      </c>
      <c r="Z102" s="1059">
        <f t="shared" si="10"/>
        <v>10003524.38765</v>
      </c>
      <c r="AA102" s="1060"/>
      <c r="AB102" s="1061"/>
      <c r="AC102" s="1061"/>
      <c r="AD102" s="1061"/>
      <c r="AE102" s="1062"/>
      <c r="AF102" s="1062"/>
      <c r="AG102" s="1062"/>
      <c r="AH102" s="1062"/>
    </row>
    <row r="103" spans="1:34" ht="14.25">
      <c r="A103" s="1111"/>
      <c r="B103" s="1112"/>
      <c r="C103" s="1113"/>
      <c r="D103" s="1114"/>
      <c r="E103" s="1114"/>
      <c r="F103" s="1114"/>
      <c r="G103" s="1114"/>
      <c r="H103" s="1112"/>
      <c r="I103" s="1112"/>
      <c r="J103" s="1112"/>
      <c r="K103" s="1112"/>
      <c r="L103" s="1112"/>
      <c r="M103" s="1112"/>
      <c r="N103" s="1112"/>
      <c r="O103" s="1112"/>
      <c r="P103" s="1112"/>
      <c r="Q103" s="1112"/>
      <c r="R103" s="1112"/>
      <c r="S103" s="1112"/>
      <c r="T103" s="1112"/>
      <c r="U103" s="1112"/>
      <c r="V103" s="1112"/>
      <c r="W103" s="1112"/>
      <c r="X103" s="1112"/>
      <c r="Y103" s="1112"/>
      <c r="Z103" s="1115"/>
      <c r="AA103" s="1062"/>
      <c r="AB103" s="1062"/>
      <c r="AC103" s="1062"/>
      <c r="AD103" s="1062"/>
      <c r="AE103" s="1062"/>
      <c r="AF103" s="1062"/>
      <c r="AG103" s="1062"/>
      <c r="AH103" s="1062"/>
    </row>
    <row r="104" spans="1:34" ht="14.25">
      <c r="A104" s="1116" t="s">
        <v>248</v>
      </c>
      <c r="C104" s="1117"/>
      <c r="E104" s="1118"/>
      <c r="F104" s="1118"/>
      <c r="G104" s="1118"/>
      <c r="Z104" s="1062"/>
      <c r="AA104" s="1062"/>
      <c r="AB104" s="1062"/>
      <c r="AC104" s="1062"/>
      <c r="AD104" s="1062"/>
      <c r="AE104" s="1062"/>
      <c r="AF104" s="1062"/>
      <c r="AG104" s="1062"/>
      <c r="AH104" s="1062"/>
    </row>
    <row r="105" ht="14.25">
      <c r="A105" s="1112" t="s">
        <v>249</v>
      </c>
    </row>
    <row r="106" ht="14.25">
      <c r="A106" s="1112" t="s">
        <v>250</v>
      </c>
    </row>
    <row r="107" ht="14.25">
      <c r="A107" s="1112" t="s">
        <v>251</v>
      </c>
    </row>
  </sheetData>
  <sheetProtection/>
  <mergeCells count="6">
    <mergeCell ref="A5:Z5"/>
    <mergeCell ref="A7:Z7"/>
    <mergeCell ref="A69:B69"/>
    <mergeCell ref="A83:B83"/>
    <mergeCell ref="A100:B100"/>
    <mergeCell ref="A102:B102"/>
  </mergeCells>
  <printOptions horizontalCentered="1" verticalCentered="1"/>
  <pageMargins left="0.7874015748031497" right="0.3937007874015748" top="0.3937007874015748" bottom="0" header="0" footer="0"/>
  <pageSetup fitToHeight="1" fitToWidth="1" horizontalDpi="600" verticalDpi="600" orientation="landscape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I59"/>
  <sheetViews>
    <sheetView showGridLines="0" zoomScale="85" zoomScaleNormal="85" zoomScaleSheetLayoutView="56" zoomScalePageLayoutView="0" workbookViewId="0" topLeftCell="A1">
      <selection activeCell="B61" sqref="B61"/>
    </sheetView>
  </sheetViews>
  <sheetFormatPr defaultColWidth="11.421875" defaultRowHeight="12.75"/>
  <cols>
    <col min="1" max="1" width="5.28125" style="1017" customWidth="1"/>
    <col min="2" max="2" width="72.8515625" style="1017" customWidth="1"/>
    <col min="3" max="3" width="11.7109375" style="1017" customWidth="1"/>
    <col min="4" max="4" width="11.28125" style="1017" hidden="1" customWidth="1"/>
    <col min="5" max="11" width="11.57421875" style="1017" hidden="1" customWidth="1"/>
    <col min="12" max="16" width="10.28125" style="1017" hidden="1" customWidth="1"/>
    <col min="17" max="20" width="10.28125" style="1017" customWidth="1"/>
    <col min="21" max="21" width="15.28125" style="1017" customWidth="1"/>
    <col min="22" max="22" width="12.00390625" style="1017" customWidth="1"/>
    <col min="23" max="25" width="11.8515625" style="1017" customWidth="1"/>
    <col min="26" max="26" width="12.7109375" style="1017" bestFit="1" customWidth="1"/>
    <col min="27" max="30" width="11.421875" style="1017" customWidth="1"/>
    <col min="31" max="31" width="14.00390625" style="1017" customWidth="1"/>
    <col min="32" max="32" width="37.7109375" style="1017" customWidth="1"/>
    <col min="33" max="16384" width="11.421875" style="1017" customWidth="1"/>
  </cols>
  <sheetData>
    <row r="6" spans="1:26" ht="18">
      <c r="A6" s="1018" t="s">
        <v>300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</row>
    <row r="7" spans="1:26" ht="18.75" thickBot="1">
      <c r="A7" s="1119"/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19"/>
      <c r="U7" s="1119"/>
      <c r="V7" s="1119"/>
      <c r="W7" s="1119"/>
      <c r="X7" s="1119"/>
      <c r="Y7" s="1119"/>
      <c r="Z7" s="1119"/>
    </row>
    <row r="8" spans="1:34" s="1028" customFormat="1" ht="16.5" thickBot="1">
      <c r="A8" s="1245" t="s">
        <v>175</v>
      </c>
      <c r="B8" s="1246" t="s">
        <v>176</v>
      </c>
      <c r="C8" s="1247">
        <v>1990</v>
      </c>
      <c r="D8" s="1248">
        <v>1991</v>
      </c>
      <c r="E8" s="1248">
        <v>1992</v>
      </c>
      <c r="F8" s="1248">
        <v>1993</v>
      </c>
      <c r="G8" s="1248">
        <v>1994</v>
      </c>
      <c r="H8" s="1248">
        <v>1995</v>
      </c>
      <c r="I8" s="1248">
        <v>1996</v>
      </c>
      <c r="J8" s="1248">
        <v>1997</v>
      </c>
      <c r="K8" s="1248">
        <v>1998</v>
      </c>
      <c r="L8" s="1248">
        <v>1999</v>
      </c>
      <c r="M8" s="1247">
        <v>2000</v>
      </c>
      <c r="N8" s="1247">
        <v>2001</v>
      </c>
      <c r="O8" s="1247">
        <v>2002</v>
      </c>
      <c r="P8" s="1247">
        <v>2003</v>
      </c>
      <c r="Q8" s="1247">
        <v>2004</v>
      </c>
      <c r="R8" s="1247">
        <v>2005</v>
      </c>
      <c r="S8" s="1247">
        <v>2006</v>
      </c>
      <c r="T8" s="1247">
        <v>2007</v>
      </c>
      <c r="U8" s="1247">
        <v>2008</v>
      </c>
      <c r="V8" s="1249">
        <v>2009</v>
      </c>
      <c r="W8" s="1247">
        <v>2010</v>
      </c>
      <c r="X8" s="1247">
        <v>2011</v>
      </c>
      <c r="Y8" s="1247">
        <v>2012</v>
      </c>
      <c r="Z8" s="1250" t="s">
        <v>0</v>
      </c>
      <c r="AA8" s="1027"/>
      <c r="AB8" s="1027"/>
      <c r="AC8" s="1027"/>
      <c r="AD8" s="1027"/>
      <c r="AE8" s="1027"/>
      <c r="AF8" s="1027"/>
      <c r="AG8" s="1027"/>
      <c r="AH8" s="1027"/>
    </row>
    <row r="9" spans="1:34" s="878" customFormat="1" ht="14.25">
      <c r="A9" s="1120">
        <v>1</v>
      </c>
      <c r="B9" s="1121" t="s">
        <v>252</v>
      </c>
      <c r="C9" s="1122"/>
      <c r="D9" s="1122"/>
      <c r="E9" s="1122"/>
      <c r="F9" s="1122"/>
      <c r="G9" s="1122"/>
      <c r="H9" s="1122">
        <v>198</v>
      </c>
      <c r="I9" s="1122">
        <v>1167</v>
      </c>
      <c r="J9" s="1123">
        <v>1015</v>
      </c>
      <c r="K9" s="1123">
        <v>467</v>
      </c>
      <c r="L9" s="1122">
        <v>3786.197</v>
      </c>
      <c r="M9" s="1124">
        <v>2922</v>
      </c>
      <c r="N9" s="1122">
        <v>949.16</v>
      </c>
      <c r="O9" s="1123"/>
      <c r="P9" s="1123"/>
      <c r="Q9" s="1122"/>
      <c r="R9" s="1123"/>
      <c r="S9" s="1123"/>
      <c r="T9" s="1123"/>
      <c r="U9" s="1123"/>
      <c r="V9" s="1123"/>
      <c r="W9" s="1122"/>
      <c r="X9" s="1122"/>
      <c r="Y9" s="1122">
        <v>8636</v>
      </c>
      <c r="Z9" s="1125">
        <f>SUM(C9:Y9)</f>
        <v>19140.357</v>
      </c>
      <c r="AA9" s="1045"/>
      <c r="AB9" s="1045"/>
      <c r="AC9" s="1045"/>
      <c r="AD9" s="1045"/>
      <c r="AE9" s="1045"/>
      <c r="AF9" s="1046"/>
      <c r="AG9" s="1047"/>
      <c r="AH9" s="1046"/>
    </row>
    <row r="10" spans="1:34" s="878" customFormat="1" ht="14.25">
      <c r="A10" s="1126">
        <f aca="true" t="shared" si="0" ref="A10:A16">A9+1</f>
        <v>2</v>
      </c>
      <c r="B10" s="1127" t="s">
        <v>253</v>
      </c>
      <c r="C10" s="1128">
        <v>488</v>
      </c>
      <c r="D10" s="1128">
        <v>16018</v>
      </c>
      <c r="E10" s="1128">
        <v>16956</v>
      </c>
      <c r="F10" s="1128">
        <v>19043</v>
      </c>
      <c r="G10" s="1128"/>
      <c r="H10" s="1128"/>
      <c r="I10" s="1128"/>
      <c r="J10" s="1127"/>
      <c r="K10" s="1127"/>
      <c r="L10" s="1127"/>
      <c r="M10" s="1129"/>
      <c r="N10" s="1127"/>
      <c r="O10" s="1130"/>
      <c r="P10" s="1130"/>
      <c r="Q10" s="1127"/>
      <c r="R10" s="1130"/>
      <c r="S10" s="1130"/>
      <c r="T10" s="1130"/>
      <c r="U10" s="1130"/>
      <c r="V10" s="1130"/>
      <c r="W10" s="1128"/>
      <c r="X10" s="1128"/>
      <c r="Y10" s="1128"/>
      <c r="Z10" s="1131">
        <f aca="true" t="shared" si="1" ref="Z10:Z16">SUM(C10:Y10)</f>
        <v>52505</v>
      </c>
      <c r="AA10" s="1045"/>
      <c r="AB10" s="1046"/>
      <c r="AC10" s="1046"/>
      <c r="AD10" s="1046"/>
      <c r="AE10" s="1045"/>
      <c r="AF10" s="1046"/>
      <c r="AG10" s="1047"/>
      <c r="AH10" s="1046"/>
    </row>
    <row r="11" spans="1:34" s="878" customFormat="1" ht="14.25">
      <c r="A11" s="1126">
        <f t="shared" si="0"/>
        <v>3</v>
      </c>
      <c r="B11" s="1127" t="s">
        <v>254</v>
      </c>
      <c r="C11" s="1128">
        <v>42220</v>
      </c>
      <c r="D11" s="1128">
        <v>11497</v>
      </c>
      <c r="E11" s="1128">
        <v>54215</v>
      </c>
      <c r="F11" s="1128">
        <v>49330</v>
      </c>
      <c r="G11" s="1128">
        <v>22137</v>
      </c>
      <c r="H11" s="1128">
        <v>23670</v>
      </c>
      <c r="I11" s="1128">
        <v>26810</v>
      </c>
      <c r="J11" s="1128">
        <v>39439</v>
      </c>
      <c r="K11" s="1128">
        <v>14521.72</v>
      </c>
      <c r="L11" s="1128">
        <v>19313.91</v>
      </c>
      <c r="M11" s="1132">
        <v>20688</v>
      </c>
      <c r="N11" s="1128">
        <v>3172</v>
      </c>
      <c r="O11" s="1133">
        <v>4468</v>
      </c>
      <c r="P11" s="1133">
        <v>4113</v>
      </c>
      <c r="Q11" s="1128">
        <v>2654</v>
      </c>
      <c r="R11" s="1133">
        <v>4050</v>
      </c>
      <c r="S11" s="1133">
        <v>3700</v>
      </c>
      <c r="T11" s="1133">
        <v>5020</v>
      </c>
      <c r="U11" s="1133">
        <v>5389</v>
      </c>
      <c r="V11" s="1133">
        <v>4644</v>
      </c>
      <c r="W11" s="1128">
        <v>6840</v>
      </c>
      <c r="X11" s="1128">
        <v>8665</v>
      </c>
      <c r="Y11" s="1128"/>
      <c r="Z11" s="1131">
        <f t="shared" si="1"/>
        <v>376556.62999999995</v>
      </c>
      <c r="AA11" s="1045"/>
      <c r="AB11" s="1046"/>
      <c r="AC11" s="1046"/>
      <c r="AD11" s="1046"/>
      <c r="AE11" s="1045"/>
      <c r="AF11" s="1046"/>
      <c r="AG11" s="1046"/>
      <c r="AH11" s="1046"/>
    </row>
    <row r="12" spans="1:39" s="878" customFormat="1" ht="14.25">
      <c r="A12" s="1126">
        <f t="shared" si="0"/>
        <v>4</v>
      </c>
      <c r="B12" s="1127" t="s">
        <v>255</v>
      </c>
      <c r="C12" s="1128"/>
      <c r="D12" s="1128"/>
      <c r="E12" s="1128"/>
      <c r="F12" s="1128"/>
      <c r="G12" s="1128"/>
      <c r="H12" s="1128"/>
      <c r="I12" s="1128"/>
      <c r="J12" s="1127"/>
      <c r="K12" s="1128">
        <v>10360</v>
      </c>
      <c r="L12" s="1128">
        <v>25640</v>
      </c>
      <c r="M12" s="1132">
        <v>21600</v>
      </c>
      <c r="N12" s="1128">
        <v>47602</v>
      </c>
      <c r="O12" s="1133">
        <v>67261</v>
      </c>
      <c r="P12" s="1133">
        <v>58696</v>
      </c>
      <c r="Q12" s="1128">
        <v>56334</v>
      </c>
      <c r="R12" s="1133">
        <v>41292</v>
      </c>
      <c r="S12" s="1133">
        <v>20787</v>
      </c>
      <c r="T12" s="1133">
        <v>57192</v>
      </c>
      <c r="U12" s="1133">
        <v>2055</v>
      </c>
      <c r="V12" s="1133">
        <v>0</v>
      </c>
      <c r="W12" s="1128">
        <v>0</v>
      </c>
      <c r="X12" s="1128">
        <v>0</v>
      </c>
      <c r="Y12" s="1128"/>
      <c r="Z12" s="1131">
        <f t="shared" si="1"/>
        <v>408819</v>
      </c>
      <c r="AA12" s="1045"/>
      <c r="AB12" s="1045"/>
      <c r="AC12" s="1045"/>
      <c r="AD12" s="1045"/>
      <c r="AE12" s="1045"/>
      <c r="AF12" s="1045"/>
      <c r="AG12" s="1047"/>
      <c r="AH12" s="1045"/>
      <c r="AJ12" s="1094"/>
      <c r="AK12" s="1094"/>
      <c r="AL12" s="1094"/>
      <c r="AM12" s="1094"/>
    </row>
    <row r="13" spans="1:34" s="878" customFormat="1" ht="14.25">
      <c r="A13" s="1126">
        <f t="shared" si="0"/>
        <v>5</v>
      </c>
      <c r="B13" s="1127" t="s">
        <v>256</v>
      </c>
      <c r="C13" s="1128"/>
      <c r="D13" s="1128"/>
      <c r="E13" s="1128"/>
      <c r="F13" s="1128"/>
      <c r="G13" s="1128">
        <v>2796.67</v>
      </c>
      <c r="H13" s="1128">
        <v>1495.71</v>
      </c>
      <c r="I13" s="1128">
        <v>4194.2</v>
      </c>
      <c r="J13" s="1128">
        <v>6890.29</v>
      </c>
      <c r="K13" s="1128">
        <v>29741.5</v>
      </c>
      <c r="L13" s="1128">
        <v>31716.54</v>
      </c>
      <c r="M13" s="1132">
        <v>17715</v>
      </c>
      <c r="N13" s="1128">
        <v>2532</v>
      </c>
      <c r="O13" s="1133">
        <v>344</v>
      </c>
      <c r="P13" s="1133">
        <v>1470.05</v>
      </c>
      <c r="Q13" s="1128">
        <v>6350.94</v>
      </c>
      <c r="R13" s="1133">
        <v>6560.7</v>
      </c>
      <c r="S13" s="1133">
        <v>3250.88</v>
      </c>
      <c r="T13" s="1133">
        <v>9585</v>
      </c>
      <c r="U13" s="1133">
        <v>10729</v>
      </c>
      <c r="V13" s="1133">
        <v>25289</v>
      </c>
      <c r="W13" s="1128">
        <v>5465</v>
      </c>
      <c r="X13" s="1128">
        <v>1454</v>
      </c>
      <c r="Y13" s="1128">
        <v>25</v>
      </c>
      <c r="Z13" s="1131">
        <f t="shared" si="1"/>
        <v>167605.48</v>
      </c>
      <c r="AA13" s="1045"/>
      <c r="AB13" s="1045"/>
      <c r="AC13" s="1045"/>
      <c r="AD13" s="1045"/>
      <c r="AE13" s="1045"/>
      <c r="AF13" s="1045"/>
      <c r="AG13" s="1045"/>
      <c r="AH13" s="1045"/>
    </row>
    <row r="14" spans="1:34" s="878" customFormat="1" ht="14.25">
      <c r="A14" s="1126">
        <f t="shared" si="0"/>
        <v>6</v>
      </c>
      <c r="B14" s="1127" t="s">
        <v>257</v>
      </c>
      <c r="C14" s="1128"/>
      <c r="D14" s="1128"/>
      <c r="E14" s="1128"/>
      <c r="F14" s="1128"/>
      <c r="G14" s="1128"/>
      <c r="H14" s="1128">
        <v>72</v>
      </c>
      <c r="I14" s="1128">
        <v>227</v>
      </c>
      <c r="J14" s="1128">
        <v>1362</v>
      </c>
      <c r="K14" s="1128">
        <v>5878</v>
      </c>
      <c r="L14" s="1128">
        <v>3425</v>
      </c>
      <c r="M14" s="1132">
        <v>985</v>
      </c>
      <c r="N14" s="1128">
        <v>1415.92</v>
      </c>
      <c r="O14" s="1133">
        <v>636</v>
      </c>
      <c r="P14" s="1133">
        <v>219.38</v>
      </c>
      <c r="Q14" s="1128">
        <v>188.28</v>
      </c>
      <c r="R14" s="1133">
        <v>227.23</v>
      </c>
      <c r="S14" s="1133">
        <v>254.26</v>
      </c>
      <c r="T14" s="1133">
        <v>224.84</v>
      </c>
      <c r="U14" s="1133">
        <v>4992</v>
      </c>
      <c r="V14" s="1133">
        <v>4537</v>
      </c>
      <c r="W14" s="1128">
        <v>1212</v>
      </c>
      <c r="X14" s="1128">
        <v>158.39999999999998</v>
      </c>
      <c r="Y14" s="1128">
        <v>342</v>
      </c>
      <c r="Z14" s="1131">
        <f t="shared" si="1"/>
        <v>26356.31</v>
      </c>
      <c r="AA14" s="1045"/>
      <c r="AB14" s="1046"/>
      <c r="AC14" s="1046"/>
      <c r="AD14" s="1046"/>
      <c r="AE14" s="1046"/>
      <c r="AF14" s="1046"/>
      <c r="AG14" s="1046"/>
      <c r="AH14" s="1046"/>
    </row>
    <row r="15" spans="1:34" s="878" customFormat="1" ht="14.25">
      <c r="A15" s="1126">
        <f t="shared" si="0"/>
        <v>7</v>
      </c>
      <c r="B15" s="1127" t="s">
        <v>258</v>
      </c>
      <c r="C15" s="1128"/>
      <c r="D15" s="1128"/>
      <c r="E15" s="1128"/>
      <c r="F15" s="1128"/>
      <c r="G15" s="1128">
        <v>3135.343</v>
      </c>
      <c r="H15" s="1128">
        <v>4517.092</v>
      </c>
      <c r="I15" s="1128">
        <v>2891.973</v>
      </c>
      <c r="J15" s="1128">
        <v>4895.327</v>
      </c>
      <c r="K15" s="1128">
        <v>5062.016</v>
      </c>
      <c r="L15" s="1128">
        <v>13311.813</v>
      </c>
      <c r="M15" s="1132">
        <v>34590</v>
      </c>
      <c r="N15" s="1128">
        <v>12855</v>
      </c>
      <c r="O15" s="1133">
        <v>4446</v>
      </c>
      <c r="P15" s="1133">
        <v>1893.07</v>
      </c>
      <c r="Q15" s="1128">
        <v>567</v>
      </c>
      <c r="R15" s="1133">
        <v>1179.57</v>
      </c>
      <c r="S15" s="1133">
        <v>126.01</v>
      </c>
      <c r="T15" s="1133">
        <v>710.51</v>
      </c>
      <c r="U15" s="1133">
        <v>2239</v>
      </c>
      <c r="V15" s="1133">
        <v>53923</v>
      </c>
      <c r="W15" s="1128">
        <v>8801</v>
      </c>
      <c r="X15" s="1128">
        <v>16560</v>
      </c>
      <c r="Y15" s="1128">
        <v>23215</v>
      </c>
      <c r="Z15" s="1131">
        <f t="shared" si="1"/>
        <v>194918.724</v>
      </c>
      <c r="AA15" s="1045"/>
      <c r="AB15" s="1046"/>
      <c r="AC15" s="1046"/>
      <c r="AD15" s="1046"/>
      <c r="AE15" s="1046"/>
      <c r="AF15" s="1046"/>
      <c r="AG15" s="1046"/>
      <c r="AH15" s="1046"/>
    </row>
    <row r="16" spans="1:34" s="878" customFormat="1" ht="15" thickBot="1">
      <c r="A16" s="1134">
        <f t="shared" si="0"/>
        <v>8</v>
      </c>
      <c r="B16" s="1135" t="s">
        <v>259</v>
      </c>
      <c r="C16" s="1136"/>
      <c r="D16" s="1136"/>
      <c r="E16" s="1136"/>
      <c r="F16" s="1136"/>
      <c r="G16" s="1136">
        <v>6458.715</v>
      </c>
      <c r="H16" s="1136">
        <v>8465.307</v>
      </c>
      <c r="I16" s="1136">
        <v>29977.264</v>
      </c>
      <c r="J16" s="1136">
        <v>49635.559</v>
      </c>
      <c r="K16" s="1136">
        <v>48508.877</v>
      </c>
      <c r="L16" s="1136">
        <v>39138.449</v>
      </c>
      <c r="M16" s="1137">
        <v>24716</v>
      </c>
      <c r="N16" s="1136">
        <v>7751</v>
      </c>
      <c r="O16" s="1138">
        <v>643</v>
      </c>
      <c r="P16" s="1138">
        <v>714</v>
      </c>
      <c r="Q16" s="1136">
        <v>907</v>
      </c>
      <c r="R16" s="1138">
        <v>457.21</v>
      </c>
      <c r="S16" s="1138">
        <v>1079.77</v>
      </c>
      <c r="T16" s="1138">
        <v>766.95</v>
      </c>
      <c r="U16" s="1138">
        <v>1109</v>
      </c>
      <c r="V16" s="1138">
        <v>456</v>
      </c>
      <c r="W16" s="1136">
        <v>2796</v>
      </c>
      <c r="X16" s="1136">
        <v>1758.3</v>
      </c>
      <c r="Y16" s="1136">
        <v>3062</v>
      </c>
      <c r="Z16" s="1140">
        <f t="shared" si="1"/>
        <v>228400.40099999998</v>
      </c>
      <c r="AA16" s="1045"/>
      <c r="AB16" s="1045"/>
      <c r="AC16" s="1045"/>
      <c r="AD16" s="1046"/>
      <c r="AE16" s="1045"/>
      <c r="AF16" s="1046"/>
      <c r="AG16" s="1046"/>
      <c r="AH16" s="1046"/>
    </row>
    <row r="17" spans="1:34" s="878" customFormat="1" ht="15" thickBot="1">
      <c r="A17" s="1141" t="s">
        <v>0</v>
      </c>
      <c r="B17" s="1142"/>
      <c r="C17" s="1143">
        <f aca="true" t="shared" si="2" ref="C17:S17">SUM(C9:C16)</f>
        <v>42708</v>
      </c>
      <c r="D17" s="1143">
        <f t="shared" si="2"/>
        <v>27515</v>
      </c>
      <c r="E17" s="1143">
        <f t="shared" si="2"/>
        <v>71171</v>
      </c>
      <c r="F17" s="1143">
        <f t="shared" si="2"/>
        <v>68373</v>
      </c>
      <c r="G17" s="1143">
        <f t="shared" si="2"/>
        <v>34527.728</v>
      </c>
      <c r="H17" s="1143">
        <f t="shared" si="2"/>
        <v>38418.109</v>
      </c>
      <c r="I17" s="1143">
        <f t="shared" si="2"/>
        <v>65267.437000000005</v>
      </c>
      <c r="J17" s="1143">
        <f t="shared" si="2"/>
        <v>103237.176</v>
      </c>
      <c r="K17" s="1143">
        <f t="shared" si="2"/>
        <v>114539.11300000001</v>
      </c>
      <c r="L17" s="1143">
        <f t="shared" si="2"/>
        <v>136331.90899999999</v>
      </c>
      <c r="M17" s="1143">
        <f t="shared" si="2"/>
        <v>123216</v>
      </c>
      <c r="N17" s="1143">
        <f t="shared" si="2"/>
        <v>76277.08</v>
      </c>
      <c r="O17" s="1144">
        <f t="shared" si="2"/>
        <v>77798</v>
      </c>
      <c r="P17" s="1144">
        <f t="shared" si="2"/>
        <v>67105.5</v>
      </c>
      <c r="Q17" s="1143">
        <f t="shared" si="2"/>
        <v>67001.22</v>
      </c>
      <c r="R17" s="1144">
        <f t="shared" si="2"/>
        <v>53766.71</v>
      </c>
      <c r="S17" s="1144">
        <f t="shared" si="2"/>
        <v>29197.92</v>
      </c>
      <c r="T17" s="1144">
        <f aca="true" t="shared" si="3" ref="T17:Z17">SUM(T9:T16)</f>
        <v>73499.29999999999</v>
      </c>
      <c r="U17" s="1144">
        <f t="shared" si="3"/>
        <v>26513</v>
      </c>
      <c r="V17" s="1144">
        <f t="shared" si="3"/>
        <v>88849</v>
      </c>
      <c r="W17" s="1143">
        <f t="shared" si="3"/>
        <v>25114</v>
      </c>
      <c r="X17" s="1143">
        <f t="shared" si="3"/>
        <v>28595.7</v>
      </c>
      <c r="Y17" s="1143">
        <f t="shared" si="3"/>
        <v>35280</v>
      </c>
      <c r="Z17" s="1145">
        <f t="shared" si="3"/>
        <v>1474301.902</v>
      </c>
      <c r="AA17" s="1035"/>
      <c r="AB17" s="1045"/>
      <c r="AC17" s="1045"/>
      <c r="AD17" s="1046"/>
      <c r="AE17" s="1045"/>
      <c r="AF17" s="1046"/>
      <c r="AG17" s="1046"/>
      <c r="AH17" s="1046"/>
    </row>
    <row r="18" spans="1:34" s="878" customFormat="1" ht="15" thickBot="1">
      <c r="A18" s="1063"/>
      <c r="B18" s="1063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6"/>
      <c r="AA18" s="1035"/>
      <c r="AB18" s="1045"/>
      <c r="AC18" s="1045"/>
      <c r="AD18" s="1046"/>
      <c r="AE18" s="1045"/>
      <c r="AF18" s="1046"/>
      <c r="AG18" s="1046"/>
      <c r="AH18" s="1046"/>
    </row>
    <row r="19" spans="1:61" s="878" customFormat="1" ht="15.75" thickBot="1">
      <c r="A19" s="1245" t="s">
        <v>175</v>
      </c>
      <c r="B19" s="1246" t="s">
        <v>224</v>
      </c>
      <c r="C19" s="1247"/>
      <c r="D19" s="1248"/>
      <c r="E19" s="1248"/>
      <c r="F19" s="1248"/>
      <c r="G19" s="1248"/>
      <c r="H19" s="1248"/>
      <c r="I19" s="1248"/>
      <c r="J19" s="1248"/>
      <c r="K19" s="1248"/>
      <c r="L19" s="1248"/>
      <c r="M19" s="1247"/>
      <c r="N19" s="1247"/>
      <c r="O19" s="1247"/>
      <c r="P19" s="1247"/>
      <c r="Q19" s="1247"/>
      <c r="R19" s="1247"/>
      <c r="S19" s="1247"/>
      <c r="T19" s="1247"/>
      <c r="U19" s="1247"/>
      <c r="V19" s="1249"/>
      <c r="W19" s="1247"/>
      <c r="X19" s="1247"/>
      <c r="Y19" s="1249"/>
      <c r="Z19" s="1250"/>
      <c r="AA19" s="1045"/>
      <c r="AB19" s="1045"/>
      <c r="AC19" s="1045"/>
      <c r="AD19" s="1045"/>
      <c r="AE19" s="1046"/>
      <c r="AF19" s="1045"/>
      <c r="AG19" s="1045"/>
      <c r="AH19" s="1045"/>
      <c r="AJ19" s="1045"/>
      <c r="AK19" s="1045"/>
      <c r="AL19" s="1045"/>
      <c r="AM19" s="1045"/>
      <c r="AN19" s="1045"/>
      <c r="AO19" s="1045"/>
      <c r="AP19" s="1045"/>
      <c r="AQ19" s="1045"/>
      <c r="AR19" s="1045"/>
      <c r="AS19" s="1045"/>
      <c r="AT19" s="1045"/>
      <c r="AU19" s="1045"/>
      <c r="AV19" s="1045"/>
      <c r="AW19" s="1045"/>
      <c r="AX19" s="1045"/>
      <c r="AY19" s="1045"/>
      <c r="AZ19" s="1045"/>
      <c r="BA19" s="1045"/>
      <c r="BB19" s="1045"/>
      <c r="BC19" s="1045"/>
      <c r="BD19" s="1045"/>
      <c r="BE19" s="1045"/>
      <c r="BF19" s="1045"/>
      <c r="BG19" s="1045"/>
      <c r="BH19" s="1045"/>
      <c r="BI19" s="1045"/>
    </row>
    <row r="20" spans="1:34" s="878" customFormat="1" ht="14.25">
      <c r="A20" s="1120">
        <v>1</v>
      </c>
      <c r="B20" s="1121" t="s">
        <v>253</v>
      </c>
      <c r="C20" s="1122">
        <v>3818</v>
      </c>
      <c r="D20" s="1122">
        <v>2275</v>
      </c>
      <c r="E20" s="1122">
        <v>9828</v>
      </c>
      <c r="F20" s="1122">
        <v>12900</v>
      </c>
      <c r="G20" s="1146"/>
      <c r="H20" s="1146"/>
      <c r="I20" s="1146"/>
      <c r="J20" s="1146"/>
      <c r="K20" s="1146"/>
      <c r="L20" s="1146"/>
      <c r="M20" s="1147"/>
      <c r="N20" s="1146"/>
      <c r="O20" s="1148"/>
      <c r="P20" s="1148"/>
      <c r="Q20" s="1146"/>
      <c r="R20" s="1148"/>
      <c r="S20" s="1148"/>
      <c r="T20" s="1148"/>
      <c r="U20" s="1148"/>
      <c r="V20" s="1148"/>
      <c r="W20" s="1122"/>
      <c r="X20" s="1122"/>
      <c r="Y20" s="1149"/>
      <c r="Z20" s="1150">
        <f>SUM(C20:X20)</f>
        <v>28821</v>
      </c>
      <c r="AA20" s="1045"/>
      <c r="AB20" s="1045"/>
      <c r="AC20" s="1045"/>
      <c r="AD20" s="1046"/>
      <c r="AE20" s="1045"/>
      <c r="AF20" s="1046"/>
      <c r="AG20" s="1047"/>
      <c r="AH20" s="1046"/>
    </row>
    <row r="21" spans="1:34" s="878" customFormat="1" ht="14.25">
      <c r="A21" s="1126">
        <f>A20+1</f>
        <v>2</v>
      </c>
      <c r="B21" s="1127" t="s">
        <v>254</v>
      </c>
      <c r="C21" s="1128">
        <v>83130</v>
      </c>
      <c r="D21" s="1128">
        <v>61462</v>
      </c>
      <c r="E21" s="1128">
        <v>8516</v>
      </c>
      <c r="F21" s="1128">
        <v>329</v>
      </c>
      <c r="G21" s="1151"/>
      <c r="H21" s="1151"/>
      <c r="I21" s="1151"/>
      <c r="J21" s="1151"/>
      <c r="K21" s="1151"/>
      <c r="L21" s="1151"/>
      <c r="M21" s="1152"/>
      <c r="N21" s="1151"/>
      <c r="O21" s="1153"/>
      <c r="P21" s="1153"/>
      <c r="Q21" s="1151"/>
      <c r="R21" s="1153"/>
      <c r="S21" s="1153"/>
      <c r="T21" s="1153"/>
      <c r="U21" s="1153"/>
      <c r="V21" s="1153"/>
      <c r="W21" s="1128"/>
      <c r="X21" s="1128"/>
      <c r="Y21" s="1154"/>
      <c r="Z21" s="1155">
        <f>SUM(C21:X21)</f>
        <v>153437</v>
      </c>
      <c r="AA21" s="1045"/>
      <c r="AB21" s="1045"/>
      <c r="AC21" s="1045"/>
      <c r="AD21" s="1046"/>
      <c r="AE21" s="1045"/>
      <c r="AF21" s="1046"/>
      <c r="AG21" s="1046"/>
      <c r="AH21" s="1046"/>
    </row>
    <row r="22" spans="1:34" s="878" customFormat="1" ht="14.25">
      <c r="A22" s="1126">
        <f>A21+1</f>
        <v>3</v>
      </c>
      <c r="B22" s="1127" t="s">
        <v>260</v>
      </c>
      <c r="C22" s="1128"/>
      <c r="D22" s="1128"/>
      <c r="E22" s="1128"/>
      <c r="F22" s="1128"/>
      <c r="G22" s="1128">
        <v>336</v>
      </c>
      <c r="H22" s="1128">
        <v>3788</v>
      </c>
      <c r="I22" s="1128">
        <v>16601</v>
      </c>
      <c r="J22" s="1127">
        <v>15579</v>
      </c>
      <c r="K22" s="1128">
        <v>33390</v>
      </c>
      <c r="L22" s="1128">
        <v>27311</v>
      </c>
      <c r="M22" s="1132">
        <v>23275</v>
      </c>
      <c r="N22" s="1128">
        <v>2644</v>
      </c>
      <c r="O22" s="1133">
        <v>86</v>
      </c>
      <c r="P22" s="1133"/>
      <c r="Q22" s="1128"/>
      <c r="R22" s="1133"/>
      <c r="S22" s="1133"/>
      <c r="T22" s="1133"/>
      <c r="U22" s="1133"/>
      <c r="V22" s="1133"/>
      <c r="W22" s="1128"/>
      <c r="X22" s="1128"/>
      <c r="Y22" s="1154"/>
      <c r="Z22" s="1155">
        <f>SUM(C22:X22)</f>
        <v>123010</v>
      </c>
      <c r="AA22" s="1045"/>
      <c r="AB22" s="1045"/>
      <c r="AC22" s="1045"/>
      <c r="AD22" s="1045"/>
      <c r="AE22" s="1045"/>
      <c r="AF22" s="1046"/>
      <c r="AG22" s="1047"/>
      <c r="AH22" s="1046"/>
    </row>
    <row r="23" spans="1:34" s="878" customFormat="1" ht="14.25">
      <c r="A23" s="1126">
        <f>A22+1</f>
        <v>4</v>
      </c>
      <c r="B23" s="1127" t="s">
        <v>261</v>
      </c>
      <c r="C23" s="1128"/>
      <c r="D23" s="1128"/>
      <c r="E23" s="1128"/>
      <c r="F23" s="1128"/>
      <c r="G23" s="1128"/>
      <c r="H23" s="1128">
        <v>7624.65</v>
      </c>
      <c r="I23" s="1156">
        <v>0</v>
      </c>
      <c r="J23" s="1128">
        <v>17141.78</v>
      </c>
      <c r="K23" s="1128">
        <v>5738.37</v>
      </c>
      <c r="L23" s="1128">
        <v>2322</v>
      </c>
      <c r="M23" s="1132">
        <v>2992</v>
      </c>
      <c r="N23" s="1128">
        <v>472</v>
      </c>
      <c r="O23" s="1133">
        <v>281</v>
      </c>
      <c r="P23" s="1133"/>
      <c r="Q23" s="1128"/>
      <c r="R23" s="1133"/>
      <c r="S23" s="1133"/>
      <c r="T23" s="1133"/>
      <c r="U23" s="1133"/>
      <c r="V23" s="1133"/>
      <c r="W23" s="1128"/>
      <c r="X23" s="1128"/>
      <c r="Y23" s="1154"/>
      <c r="Z23" s="1155">
        <f>SUM(C23:X23)</f>
        <v>36571.8</v>
      </c>
      <c r="AA23" s="1045"/>
      <c r="AB23" s="1046"/>
      <c r="AC23" s="1046"/>
      <c r="AD23" s="1046"/>
      <c r="AE23" s="1046"/>
      <c r="AF23" s="1046"/>
      <c r="AG23" s="1047"/>
      <c r="AH23" s="1046"/>
    </row>
    <row r="24" spans="1:34" s="878" customFormat="1" ht="15" thickBot="1">
      <c r="A24" s="1134">
        <f>A23+1</f>
        <v>5</v>
      </c>
      <c r="B24" s="1135" t="s">
        <v>262</v>
      </c>
      <c r="C24" s="1136"/>
      <c r="D24" s="1136"/>
      <c r="E24" s="1136"/>
      <c r="F24" s="1136"/>
      <c r="G24" s="1136"/>
      <c r="H24" s="1136"/>
      <c r="I24" s="1157"/>
      <c r="J24" s="1138"/>
      <c r="K24" s="1138">
        <v>7026.9</v>
      </c>
      <c r="L24" s="1136">
        <v>1684.9</v>
      </c>
      <c r="M24" s="1137">
        <v>423</v>
      </c>
      <c r="N24" s="1136"/>
      <c r="O24" s="1138">
        <v>10</v>
      </c>
      <c r="P24" s="1138"/>
      <c r="Q24" s="1136"/>
      <c r="R24" s="1138"/>
      <c r="S24" s="1138"/>
      <c r="T24" s="1138"/>
      <c r="U24" s="1138"/>
      <c r="V24" s="1138"/>
      <c r="W24" s="1136"/>
      <c r="X24" s="1136"/>
      <c r="Y24" s="1139"/>
      <c r="Z24" s="1158">
        <f>SUM(C24:X24)</f>
        <v>9144.8</v>
      </c>
      <c r="AA24" s="1045"/>
      <c r="AB24" s="1046"/>
      <c r="AC24" s="1046"/>
      <c r="AD24" s="1046"/>
      <c r="AE24" s="1046"/>
      <c r="AF24" s="1046"/>
      <c r="AG24" s="1046"/>
      <c r="AH24" s="1046"/>
    </row>
    <row r="25" spans="1:34" s="878" customFormat="1" ht="15" thickBot="1">
      <c r="A25" s="1159" t="s">
        <v>0</v>
      </c>
      <c r="B25" s="1160"/>
      <c r="C25" s="1161">
        <f aca="true" t="shared" si="4" ref="C25:Y25">SUM(C20:C24)</f>
        <v>86948</v>
      </c>
      <c r="D25" s="1161">
        <f t="shared" si="4"/>
        <v>63737</v>
      </c>
      <c r="E25" s="1161">
        <f t="shared" si="4"/>
        <v>18344</v>
      </c>
      <c r="F25" s="1161">
        <f t="shared" si="4"/>
        <v>13229</v>
      </c>
      <c r="G25" s="1161">
        <f t="shared" si="4"/>
        <v>336</v>
      </c>
      <c r="H25" s="1161">
        <f t="shared" si="4"/>
        <v>11412.65</v>
      </c>
      <c r="I25" s="1161">
        <f t="shared" si="4"/>
        <v>16601</v>
      </c>
      <c r="J25" s="1161">
        <f t="shared" si="4"/>
        <v>32720.78</v>
      </c>
      <c r="K25" s="1161">
        <f t="shared" si="4"/>
        <v>46155.270000000004</v>
      </c>
      <c r="L25" s="1161">
        <f t="shared" si="4"/>
        <v>31317.9</v>
      </c>
      <c r="M25" s="1161">
        <f t="shared" si="4"/>
        <v>26690</v>
      </c>
      <c r="N25" s="1161">
        <f t="shared" si="4"/>
        <v>3116</v>
      </c>
      <c r="O25" s="1161">
        <f t="shared" si="4"/>
        <v>377</v>
      </c>
      <c r="P25" s="1161">
        <f t="shared" si="4"/>
        <v>0</v>
      </c>
      <c r="Q25" s="1161">
        <f t="shared" si="4"/>
        <v>0</v>
      </c>
      <c r="R25" s="1161">
        <f t="shared" si="4"/>
        <v>0</v>
      </c>
      <c r="S25" s="1161">
        <f t="shared" si="4"/>
        <v>0</v>
      </c>
      <c r="T25" s="1161">
        <f t="shared" si="4"/>
        <v>0</v>
      </c>
      <c r="U25" s="1161">
        <f t="shared" si="4"/>
        <v>0</v>
      </c>
      <c r="V25" s="1161">
        <f t="shared" si="4"/>
        <v>0</v>
      </c>
      <c r="W25" s="1161">
        <f t="shared" si="4"/>
        <v>0</v>
      </c>
      <c r="X25" s="1161">
        <f t="shared" si="4"/>
        <v>0</v>
      </c>
      <c r="Y25" s="1161">
        <f t="shared" si="4"/>
        <v>0</v>
      </c>
      <c r="Z25" s="1162">
        <f>SUM(Z20:Z24)</f>
        <v>350984.6</v>
      </c>
      <c r="AA25" s="1045"/>
      <c r="AB25" s="1046"/>
      <c r="AC25" s="1046"/>
      <c r="AD25" s="1046"/>
      <c r="AE25" s="1046"/>
      <c r="AF25" s="1046"/>
      <c r="AG25" s="1047"/>
      <c r="AH25" s="1046"/>
    </row>
    <row r="26" spans="1:34" s="878" customFormat="1" ht="15" thickBot="1">
      <c r="A26" s="1063"/>
      <c r="B26" s="1063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6"/>
      <c r="AA26" s="1045"/>
      <c r="AB26" s="1046"/>
      <c r="AC26" s="1046"/>
      <c r="AD26" s="1046"/>
      <c r="AE26" s="1046"/>
      <c r="AF26" s="1046"/>
      <c r="AG26" s="1047"/>
      <c r="AH26" s="1046"/>
    </row>
    <row r="27" spans="1:34" s="878" customFormat="1" ht="15.75" thickBot="1">
      <c r="A27" s="1245" t="s">
        <v>175</v>
      </c>
      <c r="B27" s="1246" t="s">
        <v>234</v>
      </c>
      <c r="C27" s="1247"/>
      <c r="D27" s="1248"/>
      <c r="E27" s="1248"/>
      <c r="F27" s="1248"/>
      <c r="G27" s="1248"/>
      <c r="H27" s="1248"/>
      <c r="I27" s="1248"/>
      <c r="J27" s="1248"/>
      <c r="K27" s="1248"/>
      <c r="L27" s="1248"/>
      <c r="M27" s="1247"/>
      <c r="N27" s="1247"/>
      <c r="O27" s="1247"/>
      <c r="P27" s="1247"/>
      <c r="Q27" s="1247"/>
      <c r="R27" s="1247"/>
      <c r="S27" s="1247"/>
      <c r="T27" s="1247"/>
      <c r="U27" s="1247"/>
      <c r="V27" s="1249"/>
      <c r="W27" s="1247"/>
      <c r="X27" s="1247"/>
      <c r="Y27" s="1249"/>
      <c r="Z27" s="1250"/>
      <c r="AA27" s="1046"/>
      <c r="AB27" s="1046"/>
      <c r="AC27" s="1046"/>
      <c r="AD27" s="1046"/>
      <c r="AE27" s="1046"/>
      <c r="AF27" s="1046"/>
      <c r="AG27" s="1047"/>
      <c r="AH27" s="1046"/>
    </row>
    <row r="28" spans="1:34" s="878" customFormat="1" ht="14.25">
      <c r="A28" s="1120">
        <v>1</v>
      </c>
      <c r="B28" s="1121" t="s">
        <v>263</v>
      </c>
      <c r="C28" s="1122">
        <v>339</v>
      </c>
      <c r="D28" s="1122">
        <v>511</v>
      </c>
      <c r="E28" s="1122">
        <v>15819</v>
      </c>
      <c r="F28" s="1122">
        <v>10907</v>
      </c>
      <c r="G28" s="1122">
        <v>1204.89</v>
      </c>
      <c r="H28" s="1122">
        <v>676.69</v>
      </c>
      <c r="I28" s="1123">
        <v>9951.74</v>
      </c>
      <c r="J28" s="1123">
        <v>5901.74</v>
      </c>
      <c r="K28" s="1123">
        <v>9297.98</v>
      </c>
      <c r="L28" s="1122">
        <v>8135.25</v>
      </c>
      <c r="M28" s="1124">
        <v>2339</v>
      </c>
      <c r="N28" s="1122">
        <v>7706.03</v>
      </c>
      <c r="O28" s="1122">
        <v>2338</v>
      </c>
      <c r="P28" s="1123"/>
      <c r="Q28" s="1122">
        <v>850.82</v>
      </c>
      <c r="R28" s="1123">
        <v>2311.5</v>
      </c>
      <c r="S28" s="1123">
        <v>4561.68</v>
      </c>
      <c r="T28" s="1123">
        <v>6537.71</v>
      </c>
      <c r="U28" s="1123">
        <v>16874</v>
      </c>
      <c r="V28" s="1123">
        <v>29915</v>
      </c>
      <c r="W28" s="1122">
        <v>9637</v>
      </c>
      <c r="X28" s="1122">
        <v>3499</v>
      </c>
      <c r="Y28" s="1149"/>
      <c r="Z28" s="1150">
        <f>SUM(C28:Y28)</f>
        <v>149314.03000000003</v>
      </c>
      <c r="AA28" s="1045"/>
      <c r="AB28" s="1046"/>
      <c r="AC28" s="1046"/>
      <c r="AD28" s="1046"/>
      <c r="AE28" s="1046"/>
      <c r="AF28" s="1046"/>
      <c r="AG28" s="1047"/>
      <c r="AH28" s="1046"/>
    </row>
    <row r="29" spans="1:34" s="878" customFormat="1" ht="14.25">
      <c r="A29" s="1126">
        <v>2</v>
      </c>
      <c r="B29" s="1127" t="s">
        <v>264</v>
      </c>
      <c r="C29" s="1128"/>
      <c r="D29" s="1128"/>
      <c r="E29" s="1128"/>
      <c r="F29" s="1128"/>
      <c r="G29" s="1128"/>
      <c r="H29" s="1128"/>
      <c r="I29" s="1133"/>
      <c r="J29" s="1133"/>
      <c r="K29" s="1133"/>
      <c r="L29" s="1128"/>
      <c r="M29" s="1132">
        <v>1161</v>
      </c>
      <c r="N29" s="1128">
        <v>15.61</v>
      </c>
      <c r="O29" s="1128">
        <v>482</v>
      </c>
      <c r="P29" s="1133">
        <v>1207.8</v>
      </c>
      <c r="Q29" s="1128">
        <v>204.39</v>
      </c>
      <c r="R29" s="1133">
        <v>1279.82</v>
      </c>
      <c r="S29" s="1133">
        <v>1214.73</v>
      </c>
      <c r="T29" s="1133"/>
      <c r="U29" s="1133">
        <v>342</v>
      </c>
      <c r="V29" s="1133">
        <v>4681</v>
      </c>
      <c r="W29" s="1128">
        <v>3427</v>
      </c>
      <c r="X29" s="1128">
        <v>2040</v>
      </c>
      <c r="Y29" s="1154">
        <v>7329</v>
      </c>
      <c r="Z29" s="1155">
        <f aca="true" t="shared" si="5" ref="Z29:Z41">SUM(C29:Y29)</f>
        <v>23384.35</v>
      </c>
      <c r="AA29" s="1046"/>
      <c r="AB29" s="1046"/>
      <c r="AC29" s="1046"/>
      <c r="AD29" s="1046"/>
      <c r="AE29" s="1046"/>
      <c r="AF29" s="1046"/>
      <c r="AG29" s="1046"/>
      <c r="AH29" s="1046"/>
    </row>
    <row r="30" spans="1:34" s="878" customFormat="1" ht="14.25">
      <c r="A30" s="1126">
        <v>3</v>
      </c>
      <c r="B30" s="1127" t="s">
        <v>265</v>
      </c>
      <c r="C30" s="1128">
        <f>7696-7696</f>
        <v>0</v>
      </c>
      <c r="D30" s="1128">
        <f>8013-7879</f>
        <v>134</v>
      </c>
      <c r="E30" s="1128">
        <f>7260-4093</f>
        <v>3167</v>
      </c>
      <c r="F30" s="1128">
        <f>9798-3906</f>
        <v>5892</v>
      </c>
      <c r="G30" s="1128">
        <v>6264.39</v>
      </c>
      <c r="H30" s="1128">
        <v>48943.2</v>
      </c>
      <c r="I30" s="1133">
        <v>17611.99</v>
      </c>
      <c r="J30" s="1133">
        <v>22375.17</v>
      </c>
      <c r="K30" s="1128">
        <v>26387.08</v>
      </c>
      <c r="L30" s="1128">
        <v>16793.35</v>
      </c>
      <c r="M30" s="1132">
        <v>2314</v>
      </c>
      <c r="N30" s="1128">
        <v>2541.21</v>
      </c>
      <c r="O30" s="1128">
        <v>2628</v>
      </c>
      <c r="P30" s="1133">
        <v>2700.14</v>
      </c>
      <c r="Q30" s="1128">
        <v>2588</v>
      </c>
      <c r="R30" s="1133">
        <v>5481</v>
      </c>
      <c r="S30" s="1133">
        <v>3691</v>
      </c>
      <c r="T30" s="1133">
        <v>15301</v>
      </c>
      <c r="U30" s="1133">
        <v>13048</v>
      </c>
      <c r="V30" s="1133">
        <v>7654</v>
      </c>
      <c r="W30" s="1128">
        <v>23471</v>
      </c>
      <c r="X30" s="1128">
        <v>10435</v>
      </c>
      <c r="Y30" s="1154">
        <v>15172</v>
      </c>
      <c r="Z30" s="1155">
        <f t="shared" si="5"/>
        <v>254592.53</v>
      </c>
      <c r="AA30" s="1045"/>
      <c r="AB30" s="1045"/>
      <c r="AC30" s="1045"/>
      <c r="AD30" s="1045"/>
      <c r="AE30" s="1045"/>
      <c r="AF30" s="1045"/>
      <c r="AG30" s="1045"/>
      <c r="AH30" s="1046"/>
    </row>
    <row r="31" spans="1:34" s="878" customFormat="1" ht="14.25">
      <c r="A31" s="1126">
        <v>4</v>
      </c>
      <c r="B31" s="1127" t="s">
        <v>266</v>
      </c>
      <c r="C31" s="1128">
        <f>7671-1328</f>
        <v>6343</v>
      </c>
      <c r="D31" s="1128">
        <f>9110-1432</f>
        <v>7678</v>
      </c>
      <c r="E31" s="1128">
        <f>6242-794</f>
        <v>5448</v>
      </c>
      <c r="F31" s="1128">
        <f>4983-980</f>
        <v>4003</v>
      </c>
      <c r="G31" s="1128">
        <v>1234</v>
      </c>
      <c r="H31" s="1128">
        <v>5788</v>
      </c>
      <c r="I31" s="1133">
        <v>10318</v>
      </c>
      <c r="J31" s="1130"/>
      <c r="K31" s="1127"/>
      <c r="L31" s="1128"/>
      <c r="M31" s="1132"/>
      <c r="N31" s="1128"/>
      <c r="O31" s="1128"/>
      <c r="P31" s="1133"/>
      <c r="Q31" s="1128"/>
      <c r="R31" s="1133"/>
      <c r="S31" s="1133"/>
      <c r="T31" s="1133"/>
      <c r="U31" s="1133"/>
      <c r="V31" s="1133"/>
      <c r="W31" s="1128"/>
      <c r="X31" s="1128"/>
      <c r="Y31" s="1154"/>
      <c r="Z31" s="1155">
        <f t="shared" si="5"/>
        <v>40812</v>
      </c>
      <c r="AA31" s="1046"/>
      <c r="AB31" s="1046"/>
      <c r="AC31" s="1046"/>
      <c r="AD31" s="1046"/>
      <c r="AE31" s="1046"/>
      <c r="AF31" s="1046"/>
      <c r="AG31" s="1046"/>
      <c r="AH31" s="1046"/>
    </row>
    <row r="32" spans="1:34" s="878" customFormat="1" ht="14.25">
      <c r="A32" s="1126">
        <v>5</v>
      </c>
      <c r="B32" s="1127" t="s">
        <v>267</v>
      </c>
      <c r="C32" s="1128"/>
      <c r="D32" s="1128"/>
      <c r="E32" s="1128"/>
      <c r="F32" s="1128"/>
      <c r="G32" s="1128"/>
      <c r="H32" s="1128"/>
      <c r="I32" s="1133"/>
      <c r="J32" s="1130"/>
      <c r="K32" s="1127"/>
      <c r="L32" s="1128"/>
      <c r="M32" s="1132"/>
      <c r="N32" s="1128"/>
      <c r="O32" s="1128"/>
      <c r="P32" s="1133"/>
      <c r="Q32" s="1128"/>
      <c r="R32" s="1133"/>
      <c r="S32" s="1133"/>
      <c r="T32" s="1133"/>
      <c r="U32" s="1133"/>
      <c r="V32" s="1133"/>
      <c r="W32" s="1128"/>
      <c r="X32" s="1128">
        <v>156</v>
      </c>
      <c r="Y32" s="1154"/>
      <c r="Z32" s="1155">
        <f t="shared" si="5"/>
        <v>156</v>
      </c>
      <c r="AA32" s="1046"/>
      <c r="AB32" s="1046"/>
      <c r="AC32" s="1046"/>
      <c r="AD32" s="1046"/>
      <c r="AE32" s="1046"/>
      <c r="AF32" s="1046"/>
      <c r="AG32" s="1046"/>
      <c r="AH32" s="1046"/>
    </row>
    <row r="33" spans="1:34" s="878" customFormat="1" ht="14.25">
      <c r="A33" s="1126">
        <v>6</v>
      </c>
      <c r="B33" s="1127" t="s">
        <v>268</v>
      </c>
      <c r="C33" s="1163"/>
      <c r="D33" s="1128"/>
      <c r="E33" s="1128"/>
      <c r="F33" s="1128"/>
      <c r="G33" s="1128"/>
      <c r="H33" s="1128"/>
      <c r="I33" s="1130"/>
      <c r="J33" s="1130"/>
      <c r="K33" s="1127"/>
      <c r="L33" s="1128">
        <f>3793.009/3.38</f>
        <v>1122.1920118343196</v>
      </c>
      <c r="M33" s="1132">
        <v>1363</v>
      </c>
      <c r="N33" s="1128">
        <v>558.87</v>
      </c>
      <c r="O33" s="1128">
        <v>337</v>
      </c>
      <c r="P33" s="1133">
        <v>92.6</v>
      </c>
      <c r="Q33" s="1128"/>
      <c r="R33" s="1133">
        <v>338</v>
      </c>
      <c r="S33" s="1133">
        <v>1272.76</v>
      </c>
      <c r="T33" s="1133">
        <v>1531.09</v>
      </c>
      <c r="U33" s="1133"/>
      <c r="V33" s="1133">
        <v>3804</v>
      </c>
      <c r="W33" s="1163">
        <v>2632</v>
      </c>
      <c r="X33" s="1163">
        <v>6393</v>
      </c>
      <c r="Y33" s="1164"/>
      <c r="Z33" s="1155">
        <f t="shared" si="5"/>
        <v>19444.51201183432</v>
      </c>
      <c r="AA33" s="1046"/>
      <c r="AB33" s="1046"/>
      <c r="AC33" s="1046"/>
      <c r="AD33" s="1046"/>
      <c r="AE33" s="1046"/>
      <c r="AF33" s="1046"/>
      <c r="AG33" s="1046"/>
      <c r="AH33" s="1046"/>
    </row>
    <row r="34" spans="1:34" s="878" customFormat="1" ht="14.25">
      <c r="A34" s="1126">
        <v>7</v>
      </c>
      <c r="B34" s="1127" t="s">
        <v>238</v>
      </c>
      <c r="C34" s="1128">
        <f>6588-6588</f>
        <v>0</v>
      </c>
      <c r="D34" s="1128">
        <f>8756-7723</f>
        <v>1033</v>
      </c>
      <c r="E34" s="1128">
        <f>10742-2386</f>
        <v>8356</v>
      </c>
      <c r="F34" s="1128">
        <f>9851-2610</f>
        <v>7241</v>
      </c>
      <c r="G34" s="1128">
        <v>7337</v>
      </c>
      <c r="H34" s="1128">
        <v>11849</v>
      </c>
      <c r="I34" s="1128">
        <v>17145</v>
      </c>
      <c r="J34" s="1128">
        <v>6522</v>
      </c>
      <c r="K34" s="1127"/>
      <c r="L34" s="1128"/>
      <c r="M34" s="1132"/>
      <c r="N34" s="1128"/>
      <c r="O34" s="1128">
        <v>3312</v>
      </c>
      <c r="P34" s="1133">
        <v>15741</v>
      </c>
      <c r="Q34" s="1128">
        <v>13218</v>
      </c>
      <c r="R34" s="1133">
        <v>16103</v>
      </c>
      <c r="S34" s="1133">
        <v>16699</v>
      </c>
      <c r="T34" s="1133">
        <v>10091</v>
      </c>
      <c r="U34" s="1133">
        <v>20851</v>
      </c>
      <c r="V34" s="1133">
        <v>41043</v>
      </c>
      <c r="W34" s="1128">
        <v>33261</v>
      </c>
      <c r="X34" s="1128">
        <v>13306</v>
      </c>
      <c r="Y34" s="1154">
        <v>13774</v>
      </c>
      <c r="Z34" s="1155">
        <f t="shared" si="5"/>
        <v>256882</v>
      </c>
      <c r="AA34" s="1045"/>
      <c r="AB34" s="1045"/>
      <c r="AC34" s="1045"/>
      <c r="AD34" s="1046"/>
      <c r="AE34" s="1046"/>
      <c r="AF34" s="1046"/>
      <c r="AG34" s="1046"/>
      <c r="AH34" s="1046"/>
    </row>
    <row r="35" spans="1:56" s="878" customFormat="1" ht="15">
      <c r="A35" s="1126">
        <v>8</v>
      </c>
      <c r="B35" s="1127" t="s">
        <v>253</v>
      </c>
      <c r="C35" s="1128">
        <v>63</v>
      </c>
      <c r="D35" s="1128">
        <v>12342</v>
      </c>
      <c r="E35" s="1128">
        <v>21804</v>
      </c>
      <c r="F35" s="1128">
        <v>24126</v>
      </c>
      <c r="G35" s="1165"/>
      <c r="H35" s="1165"/>
      <c r="I35" s="1165"/>
      <c r="J35" s="1165"/>
      <c r="K35" s="1165"/>
      <c r="L35" s="1165"/>
      <c r="M35" s="1166"/>
      <c r="N35" s="1165"/>
      <c r="O35" s="1165"/>
      <c r="P35" s="1167"/>
      <c r="Q35" s="1165"/>
      <c r="R35" s="1133"/>
      <c r="S35" s="1133"/>
      <c r="T35" s="1133"/>
      <c r="U35" s="1133"/>
      <c r="V35" s="1133"/>
      <c r="W35" s="1128"/>
      <c r="X35" s="1128"/>
      <c r="Y35" s="1154"/>
      <c r="Z35" s="1155">
        <f t="shared" si="5"/>
        <v>58335</v>
      </c>
      <c r="AA35" s="1045"/>
      <c r="AB35" s="1045"/>
      <c r="AC35" s="1045"/>
      <c r="AD35" s="1045"/>
      <c r="AE35" s="1045"/>
      <c r="AF35" s="1045"/>
      <c r="AG35" s="1045"/>
      <c r="AH35" s="1045"/>
      <c r="AJ35" s="1094"/>
      <c r="AK35" s="1094"/>
      <c r="AL35" s="1094"/>
      <c r="AM35" s="1094"/>
      <c r="AN35" s="1094"/>
      <c r="AO35" s="1094"/>
      <c r="AP35" s="1094"/>
      <c r="AQ35" s="1094"/>
      <c r="AR35" s="1094"/>
      <c r="AS35" s="1094"/>
      <c r="AT35" s="1094"/>
      <c r="AU35" s="1094"/>
      <c r="AV35" s="1094"/>
      <c r="AW35" s="1094"/>
      <c r="AX35" s="1094"/>
      <c r="AY35" s="1094"/>
      <c r="AZ35" s="1094"/>
      <c r="BA35" s="1094"/>
      <c r="BB35" s="1094"/>
      <c r="BC35" s="1094"/>
      <c r="BD35" s="1094"/>
    </row>
    <row r="36" spans="1:34" s="878" customFormat="1" ht="14.25">
      <c r="A36" s="1126">
        <v>9</v>
      </c>
      <c r="B36" s="1127" t="s">
        <v>240</v>
      </c>
      <c r="C36" s="1128">
        <f>2120-2120</f>
        <v>0</v>
      </c>
      <c r="D36" s="1128">
        <f>3345-2264</f>
        <v>1081</v>
      </c>
      <c r="E36" s="1133">
        <f>8241-1867</f>
        <v>6374</v>
      </c>
      <c r="F36" s="1133">
        <f>13496-2413</f>
        <v>11083</v>
      </c>
      <c r="G36" s="1133">
        <v>10700</v>
      </c>
      <c r="H36" s="1133">
        <v>10705</v>
      </c>
      <c r="I36" s="1133">
        <v>12108</v>
      </c>
      <c r="J36" s="1133">
        <v>19868</v>
      </c>
      <c r="K36" s="1133"/>
      <c r="L36" s="1128"/>
      <c r="M36" s="1132"/>
      <c r="N36" s="1128"/>
      <c r="O36" s="1128">
        <v>1744</v>
      </c>
      <c r="P36" s="1133">
        <v>2006</v>
      </c>
      <c r="Q36" s="1128">
        <v>5355</v>
      </c>
      <c r="R36" s="1133">
        <v>6465</v>
      </c>
      <c r="S36" s="1133">
        <v>7907</v>
      </c>
      <c r="T36" s="1133">
        <v>7547</v>
      </c>
      <c r="U36" s="1133">
        <v>9518</v>
      </c>
      <c r="V36" s="1133">
        <v>12874</v>
      </c>
      <c r="W36" s="1128">
        <v>9313</v>
      </c>
      <c r="X36" s="1128">
        <v>6172</v>
      </c>
      <c r="Y36" s="1154">
        <v>8784</v>
      </c>
      <c r="Z36" s="1155">
        <f t="shared" si="5"/>
        <v>149604</v>
      </c>
      <c r="AA36" s="1045"/>
      <c r="AB36" s="1045"/>
      <c r="AC36" s="1045"/>
      <c r="AD36" s="1045"/>
      <c r="AE36" s="1045"/>
      <c r="AF36" s="1045"/>
      <c r="AG36" s="1045"/>
      <c r="AH36" s="1046"/>
    </row>
    <row r="37" spans="1:34" s="878" customFormat="1" ht="14.25">
      <c r="A37" s="1126">
        <v>10</v>
      </c>
      <c r="B37" s="1127" t="s">
        <v>241</v>
      </c>
      <c r="C37" s="1128">
        <f>14046-14046</f>
        <v>0</v>
      </c>
      <c r="D37" s="1128">
        <f>15226-15053</f>
        <v>173</v>
      </c>
      <c r="E37" s="1128">
        <f>12326-8659</f>
        <v>3667</v>
      </c>
      <c r="F37" s="1128">
        <f>12940-6356</f>
        <v>6584</v>
      </c>
      <c r="G37" s="1128">
        <v>8134</v>
      </c>
      <c r="H37" s="1128">
        <v>2493</v>
      </c>
      <c r="I37" s="1133">
        <v>10362</v>
      </c>
      <c r="J37" s="1133">
        <v>4692</v>
      </c>
      <c r="K37" s="1130"/>
      <c r="L37" s="1128"/>
      <c r="M37" s="1132"/>
      <c r="N37" s="1128"/>
      <c r="O37" s="1128">
        <v>5385</v>
      </c>
      <c r="P37" s="1133">
        <v>3282</v>
      </c>
      <c r="Q37" s="1128">
        <v>5467</v>
      </c>
      <c r="R37" s="1133">
        <v>4687</v>
      </c>
      <c r="S37" s="1133">
        <v>4789.4</v>
      </c>
      <c r="T37" s="1133">
        <v>5808.1</v>
      </c>
      <c r="U37" s="1133">
        <v>6336</v>
      </c>
      <c r="V37" s="1168">
        <v>19311</v>
      </c>
      <c r="W37" s="1128">
        <v>16366</v>
      </c>
      <c r="X37" s="1128">
        <v>10611</v>
      </c>
      <c r="Y37" s="1154">
        <v>14356</v>
      </c>
      <c r="Z37" s="1155">
        <f t="shared" si="5"/>
        <v>132503.5</v>
      </c>
      <c r="AA37" s="1046"/>
      <c r="AB37" s="1046"/>
      <c r="AC37" s="1046"/>
      <c r="AD37" s="1046"/>
      <c r="AE37" s="1046"/>
      <c r="AF37" s="1046"/>
      <c r="AG37" s="1046"/>
      <c r="AH37" s="1046"/>
    </row>
    <row r="38" spans="1:60" s="878" customFormat="1" ht="14.25">
      <c r="A38" s="1126">
        <v>11</v>
      </c>
      <c r="B38" s="1127" t="s">
        <v>269</v>
      </c>
      <c r="C38" s="1128">
        <v>178</v>
      </c>
      <c r="D38" s="1128">
        <f>224-209</f>
        <v>15</v>
      </c>
      <c r="E38" s="1128">
        <f>1926-580</f>
        <v>1346</v>
      </c>
      <c r="F38" s="1128">
        <f>2811-1315</f>
        <v>1496</v>
      </c>
      <c r="G38" s="1128">
        <v>1211.37</v>
      </c>
      <c r="H38" s="1128">
        <v>997.86</v>
      </c>
      <c r="I38" s="1133">
        <v>3855.56</v>
      </c>
      <c r="J38" s="1133">
        <v>2857.4</v>
      </c>
      <c r="K38" s="1133">
        <v>1957.31</v>
      </c>
      <c r="L38" s="1128">
        <v>1092.5</v>
      </c>
      <c r="M38" s="1132">
        <v>1293</v>
      </c>
      <c r="N38" s="1128">
        <v>999</v>
      </c>
      <c r="O38" s="1128">
        <v>1537</v>
      </c>
      <c r="P38" s="1133">
        <v>1279</v>
      </c>
      <c r="Q38" s="1128">
        <v>1150</v>
      </c>
      <c r="R38" s="1133">
        <v>1360</v>
      </c>
      <c r="S38" s="1133">
        <v>2183</v>
      </c>
      <c r="T38" s="1133">
        <v>1313</v>
      </c>
      <c r="U38" s="1133">
        <v>2135</v>
      </c>
      <c r="V38" s="1133">
        <v>3468</v>
      </c>
      <c r="W38" s="1128">
        <v>6487</v>
      </c>
      <c r="X38" s="1128">
        <v>2448</v>
      </c>
      <c r="Y38" s="1154">
        <v>5586</v>
      </c>
      <c r="Z38" s="1155">
        <f t="shared" si="5"/>
        <v>46245</v>
      </c>
      <c r="AA38" s="1045"/>
      <c r="AB38" s="1045"/>
      <c r="AC38" s="1045"/>
      <c r="AD38" s="1045"/>
      <c r="AE38" s="1045"/>
      <c r="AF38" s="1045"/>
      <c r="AG38" s="1045"/>
      <c r="AH38" s="1045"/>
      <c r="AJ38" s="1094"/>
      <c r="AK38" s="1094"/>
      <c r="AL38" s="1094"/>
      <c r="AM38" s="1094"/>
      <c r="AN38" s="1094"/>
      <c r="AO38" s="1094"/>
      <c r="AP38" s="1094"/>
      <c r="AQ38" s="1094"/>
      <c r="AR38" s="1094"/>
      <c r="AS38" s="1094"/>
      <c r="AT38" s="1094"/>
      <c r="AU38" s="1094"/>
      <c r="AV38" s="1094"/>
      <c r="AW38" s="1094"/>
      <c r="AX38" s="1094"/>
      <c r="AY38" s="1094"/>
      <c r="AZ38" s="1094"/>
      <c r="BA38" s="1094"/>
      <c r="BB38" s="1094"/>
      <c r="BC38" s="1094"/>
      <c r="BD38" s="1094"/>
      <c r="BE38" s="1094"/>
      <c r="BF38" s="1094"/>
      <c r="BG38" s="1094"/>
      <c r="BH38" s="1094"/>
    </row>
    <row r="39" spans="1:60" s="878" customFormat="1" ht="14.25">
      <c r="A39" s="1126">
        <v>12</v>
      </c>
      <c r="B39" s="1127" t="s">
        <v>270</v>
      </c>
      <c r="C39" s="1128">
        <f>3269-3269</f>
        <v>0</v>
      </c>
      <c r="D39" s="1128">
        <f>4493-4085</f>
        <v>408</v>
      </c>
      <c r="E39" s="1128">
        <f>3437-1343</f>
        <v>2094</v>
      </c>
      <c r="F39" s="1128">
        <f>6247-2125</f>
        <v>4122</v>
      </c>
      <c r="G39" s="1128">
        <v>4819</v>
      </c>
      <c r="H39" s="1128">
        <v>16692</v>
      </c>
      <c r="I39" s="1128">
        <v>4796</v>
      </c>
      <c r="J39" s="1128">
        <v>1239</v>
      </c>
      <c r="K39" s="1127"/>
      <c r="L39" s="1128"/>
      <c r="M39" s="1132"/>
      <c r="N39" s="1128"/>
      <c r="O39" s="1128">
        <v>8368</v>
      </c>
      <c r="P39" s="1133">
        <v>13385</v>
      </c>
      <c r="Q39" s="1128">
        <v>16150</v>
      </c>
      <c r="R39" s="1133">
        <v>19008</v>
      </c>
      <c r="S39" s="1133">
        <v>15852.33</v>
      </c>
      <c r="T39" s="1133">
        <v>13470</v>
      </c>
      <c r="U39" s="1133">
        <v>27740</v>
      </c>
      <c r="V39" s="1133">
        <v>31438</v>
      </c>
      <c r="W39" s="1128">
        <v>25874</v>
      </c>
      <c r="X39" s="1128">
        <v>14451</v>
      </c>
      <c r="Y39" s="1154">
        <v>11074</v>
      </c>
      <c r="Z39" s="1155">
        <f t="shared" si="5"/>
        <v>230980.33000000002</v>
      </c>
      <c r="AA39" s="1045"/>
      <c r="AB39" s="1045"/>
      <c r="AC39" s="1045"/>
      <c r="AD39" s="1045"/>
      <c r="AE39" s="1045"/>
      <c r="AF39" s="1045"/>
      <c r="AG39" s="1045"/>
      <c r="AH39" s="1045"/>
      <c r="AJ39" s="1094"/>
      <c r="AK39" s="1094"/>
      <c r="AL39" s="1094"/>
      <c r="AM39" s="1094"/>
      <c r="AN39" s="1094"/>
      <c r="AO39" s="1094"/>
      <c r="AP39" s="1094"/>
      <c r="AQ39" s="1094"/>
      <c r="AR39" s="1094"/>
      <c r="AS39" s="1094"/>
      <c r="AT39" s="1094"/>
      <c r="AU39" s="1094"/>
      <c r="AV39" s="1094"/>
      <c r="AW39" s="1094"/>
      <c r="AX39" s="1094"/>
      <c r="AY39" s="1094"/>
      <c r="AZ39" s="1094"/>
      <c r="BA39" s="1094"/>
      <c r="BB39" s="1094"/>
      <c r="BC39" s="1094"/>
      <c r="BD39" s="1094"/>
      <c r="BE39" s="1094"/>
      <c r="BF39" s="1094"/>
      <c r="BG39" s="1094"/>
      <c r="BH39" s="1094"/>
    </row>
    <row r="40" spans="1:60" s="878" customFormat="1" ht="14.25">
      <c r="A40" s="1126">
        <v>13</v>
      </c>
      <c r="B40" s="1127" t="s">
        <v>271</v>
      </c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32">
        <v>351</v>
      </c>
      <c r="N40" s="1128">
        <v>0</v>
      </c>
      <c r="O40" s="1128"/>
      <c r="P40" s="1133"/>
      <c r="Q40" s="1128"/>
      <c r="R40" s="1133"/>
      <c r="S40" s="1133">
        <v>135.65</v>
      </c>
      <c r="T40" s="1133"/>
      <c r="U40" s="1133"/>
      <c r="V40" s="1133"/>
      <c r="W40" s="1128"/>
      <c r="X40" s="1128"/>
      <c r="Y40" s="1154"/>
      <c r="Z40" s="1155">
        <f t="shared" si="5"/>
        <v>486.65</v>
      </c>
      <c r="AA40" s="1045"/>
      <c r="AB40" s="1045"/>
      <c r="AC40" s="1045"/>
      <c r="AD40" s="1045"/>
      <c r="AE40" s="1045"/>
      <c r="AF40" s="1045"/>
      <c r="AG40" s="1045"/>
      <c r="AH40" s="1045"/>
      <c r="AJ40" s="1094"/>
      <c r="AK40" s="1094"/>
      <c r="AL40" s="1094"/>
      <c r="AM40" s="1094"/>
      <c r="AN40" s="1094"/>
      <c r="AO40" s="1094"/>
      <c r="AP40" s="1094"/>
      <c r="AQ40" s="1094"/>
      <c r="AR40" s="1094"/>
      <c r="AS40" s="1094"/>
      <c r="AT40" s="1094"/>
      <c r="AU40" s="1094"/>
      <c r="AV40" s="1094"/>
      <c r="AW40" s="1094"/>
      <c r="AX40" s="1094"/>
      <c r="AY40" s="1094"/>
      <c r="AZ40" s="1094"/>
      <c r="BA40" s="1094"/>
      <c r="BB40" s="1094"/>
      <c r="BC40" s="1094"/>
      <c r="BD40" s="1094"/>
      <c r="BE40" s="1094"/>
      <c r="BF40" s="1094"/>
      <c r="BG40" s="1094"/>
      <c r="BH40" s="1094"/>
    </row>
    <row r="41" spans="1:60" ht="15" thickBot="1">
      <c r="A41" s="1126">
        <v>14</v>
      </c>
      <c r="B41" s="1169" t="s">
        <v>272</v>
      </c>
      <c r="C41" s="1170">
        <f>2268-2248</f>
        <v>20</v>
      </c>
      <c r="D41" s="1170">
        <f>2642-2410</f>
        <v>232</v>
      </c>
      <c r="E41" s="1170">
        <f>7490-1327</f>
        <v>6163</v>
      </c>
      <c r="F41" s="1170">
        <f>11250-1154</f>
        <v>10096</v>
      </c>
      <c r="G41" s="1170">
        <v>3621.33</v>
      </c>
      <c r="H41" s="1170">
        <v>6737.49</v>
      </c>
      <c r="I41" s="1170">
        <v>8959.48</v>
      </c>
      <c r="J41" s="1170">
        <v>8476.7</v>
      </c>
      <c r="K41" s="1170">
        <v>4454.59</v>
      </c>
      <c r="L41" s="1170">
        <v>6931.458</v>
      </c>
      <c r="M41" s="1171">
        <v>7262</v>
      </c>
      <c r="N41" s="1170">
        <v>3844.88</v>
      </c>
      <c r="O41" s="1170">
        <v>5549</v>
      </c>
      <c r="P41" s="1172">
        <v>4033</v>
      </c>
      <c r="Q41" s="1170">
        <v>4131</v>
      </c>
      <c r="R41" s="1172">
        <v>6606</v>
      </c>
      <c r="S41" s="1172">
        <v>8237.03</v>
      </c>
      <c r="T41" s="1172">
        <v>4617</v>
      </c>
      <c r="U41" s="1172">
        <v>5525</v>
      </c>
      <c r="V41" s="1172">
        <v>6944</v>
      </c>
      <c r="W41" s="1170">
        <v>10029</v>
      </c>
      <c r="X41" s="1170">
        <v>8867</v>
      </c>
      <c r="Y41" s="1173">
        <v>10268</v>
      </c>
      <c r="Z41" s="1174">
        <f t="shared" si="5"/>
        <v>141604.95799999998</v>
      </c>
      <c r="AA41" s="1061"/>
      <c r="AB41" s="1061"/>
      <c r="AC41" s="1061"/>
      <c r="AD41" s="1061"/>
      <c r="AE41" s="1061"/>
      <c r="AF41" s="1061"/>
      <c r="AG41" s="1061"/>
      <c r="AH41" s="1061"/>
      <c r="AJ41" s="1175"/>
      <c r="AK41" s="1175"/>
      <c r="AL41" s="1175"/>
      <c r="AM41" s="1175"/>
      <c r="AN41" s="1175"/>
      <c r="AO41" s="1175"/>
      <c r="AP41" s="1175"/>
      <c r="AQ41" s="1175"/>
      <c r="AR41" s="1175"/>
      <c r="AS41" s="1175"/>
      <c r="AT41" s="1175"/>
      <c r="AU41" s="1175"/>
      <c r="AV41" s="1175"/>
      <c r="AW41" s="1175"/>
      <c r="AX41" s="1175"/>
      <c r="AY41" s="1175"/>
      <c r="AZ41" s="1175"/>
      <c r="BA41" s="1175"/>
      <c r="BB41" s="1175"/>
      <c r="BC41" s="1175"/>
      <c r="BD41" s="1175"/>
      <c r="BE41" s="1175"/>
      <c r="BF41" s="1175"/>
      <c r="BG41" s="1175"/>
      <c r="BH41" s="1175"/>
    </row>
    <row r="42" spans="1:60" ht="15" thickBot="1">
      <c r="A42" s="1159" t="s">
        <v>0</v>
      </c>
      <c r="B42" s="1160"/>
      <c r="C42" s="1161">
        <f aca="true" t="shared" si="6" ref="C42:Z42">SUM(C28:C41)</f>
        <v>6943</v>
      </c>
      <c r="D42" s="1161">
        <f t="shared" si="6"/>
        <v>23607</v>
      </c>
      <c r="E42" s="1161">
        <f t="shared" si="6"/>
        <v>74238</v>
      </c>
      <c r="F42" s="1161">
        <f t="shared" si="6"/>
        <v>85550</v>
      </c>
      <c r="G42" s="1161">
        <f t="shared" si="6"/>
        <v>44525.98</v>
      </c>
      <c r="H42" s="1161">
        <f t="shared" si="6"/>
        <v>104882.24</v>
      </c>
      <c r="I42" s="1161">
        <f t="shared" si="6"/>
        <v>95107.77</v>
      </c>
      <c r="J42" s="1161">
        <f t="shared" si="6"/>
        <v>71932.01</v>
      </c>
      <c r="K42" s="1161">
        <f t="shared" si="6"/>
        <v>42096.95999999999</v>
      </c>
      <c r="L42" s="1161">
        <f t="shared" si="6"/>
        <v>34074.750011834316</v>
      </c>
      <c r="M42" s="1161">
        <f t="shared" si="6"/>
        <v>16083</v>
      </c>
      <c r="N42" s="1161">
        <f t="shared" si="6"/>
        <v>15665.599999999999</v>
      </c>
      <c r="O42" s="1161">
        <f t="shared" si="6"/>
        <v>31680</v>
      </c>
      <c r="P42" s="1161">
        <f t="shared" si="6"/>
        <v>43726.54</v>
      </c>
      <c r="Q42" s="1161">
        <f t="shared" si="6"/>
        <v>49114.21</v>
      </c>
      <c r="R42" s="1161">
        <f t="shared" si="6"/>
        <v>63639.32</v>
      </c>
      <c r="S42" s="1161">
        <f t="shared" si="6"/>
        <v>66543.58</v>
      </c>
      <c r="T42" s="1161">
        <f t="shared" si="6"/>
        <v>66215.9</v>
      </c>
      <c r="U42" s="1161">
        <f t="shared" si="6"/>
        <v>102369</v>
      </c>
      <c r="V42" s="1161">
        <f t="shared" si="6"/>
        <v>161132</v>
      </c>
      <c r="W42" s="1161">
        <f t="shared" si="6"/>
        <v>140497</v>
      </c>
      <c r="X42" s="1161">
        <f t="shared" si="6"/>
        <v>78378</v>
      </c>
      <c r="Y42" s="1161">
        <f t="shared" si="6"/>
        <v>86343</v>
      </c>
      <c r="Z42" s="1162">
        <f t="shared" si="6"/>
        <v>1504344.8600118342</v>
      </c>
      <c r="AA42" s="1061"/>
      <c r="AB42" s="1061"/>
      <c r="AC42" s="1061"/>
      <c r="AD42" s="1061"/>
      <c r="AE42" s="1061"/>
      <c r="AF42" s="1061"/>
      <c r="AG42" s="1061"/>
      <c r="AH42" s="1061"/>
      <c r="AJ42" s="1175"/>
      <c r="AK42" s="1175"/>
      <c r="AL42" s="1175"/>
      <c r="AM42" s="1175"/>
      <c r="AN42" s="1175"/>
      <c r="AO42" s="1175"/>
      <c r="AP42" s="1175"/>
      <c r="AQ42" s="1175"/>
      <c r="AR42" s="1175"/>
      <c r="AS42" s="1175"/>
      <c r="AT42" s="1175"/>
      <c r="AU42" s="1175"/>
      <c r="AV42" s="1175"/>
      <c r="AW42" s="1175"/>
      <c r="AX42" s="1175"/>
      <c r="AY42" s="1175"/>
      <c r="AZ42" s="1175"/>
      <c r="BA42" s="1175"/>
      <c r="BB42" s="1175"/>
      <c r="BC42" s="1175"/>
      <c r="BD42" s="1175"/>
      <c r="BE42" s="1175"/>
      <c r="BF42" s="1175"/>
      <c r="BG42" s="1175"/>
      <c r="BH42" s="1175"/>
    </row>
    <row r="43" spans="1:60" ht="14.25">
      <c r="A43" s="1176" t="s">
        <v>273</v>
      </c>
      <c r="B43" s="1063"/>
      <c r="C43" s="1065"/>
      <c r="D43" s="1065"/>
      <c r="E43" s="1065"/>
      <c r="F43" s="1065"/>
      <c r="G43" s="1065"/>
      <c r="H43" s="1065"/>
      <c r="I43" s="1065"/>
      <c r="J43" s="1065"/>
      <c r="K43" s="1065"/>
      <c r="L43" s="1065"/>
      <c r="M43" s="1065"/>
      <c r="N43" s="1065"/>
      <c r="O43" s="1065"/>
      <c r="P43" s="1065"/>
      <c r="Q43" s="1065"/>
      <c r="R43" s="1065"/>
      <c r="S43" s="1065"/>
      <c r="T43" s="1065"/>
      <c r="U43" s="1065"/>
      <c r="V43" s="1065"/>
      <c r="W43" s="1065"/>
      <c r="X43" s="1065"/>
      <c r="Y43" s="1065"/>
      <c r="Z43" s="1066"/>
      <c r="AA43" s="1061"/>
      <c r="AB43" s="1061"/>
      <c r="AC43" s="1061"/>
      <c r="AD43" s="1061"/>
      <c r="AE43" s="1061"/>
      <c r="AF43" s="1061"/>
      <c r="AG43" s="1061"/>
      <c r="AH43" s="1061"/>
      <c r="AJ43" s="1175"/>
      <c r="AK43" s="1175"/>
      <c r="AL43" s="1175"/>
      <c r="AM43" s="1175"/>
      <c r="AN43" s="1175"/>
      <c r="AO43" s="1175"/>
      <c r="AP43" s="1175"/>
      <c r="AQ43" s="1175"/>
      <c r="AR43" s="1175"/>
      <c r="AS43" s="1175"/>
      <c r="AT43" s="1175"/>
      <c r="AU43" s="1175"/>
      <c r="AV43" s="1175"/>
      <c r="AW43" s="1175"/>
      <c r="AX43" s="1175"/>
      <c r="AY43" s="1175"/>
      <c r="AZ43" s="1175"/>
      <c r="BA43" s="1175"/>
      <c r="BB43" s="1175"/>
      <c r="BC43" s="1175"/>
      <c r="BD43" s="1175"/>
      <c r="BE43" s="1175"/>
      <c r="BF43" s="1175"/>
      <c r="BG43" s="1175"/>
      <c r="BH43" s="1175"/>
    </row>
    <row r="44" spans="1:60" ht="14.25">
      <c r="A44" s="1176"/>
      <c r="B44" s="1063"/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6"/>
      <c r="AA44" s="1061"/>
      <c r="AB44" s="1061"/>
      <c r="AC44" s="1061"/>
      <c r="AD44" s="1061"/>
      <c r="AE44" s="1061"/>
      <c r="AF44" s="1061"/>
      <c r="AG44" s="1061"/>
      <c r="AH44" s="1061"/>
      <c r="AJ44" s="1175"/>
      <c r="AK44" s="1175"/>
      <c r="AL44" s="1175"/>
      <c r="AM44" s="1175"/>
      <c r="AN44" s="1175"/>
      <c r="AO44" s="1175"/>
      <c r="AP44" s="1175"/>
      <c r="AQ44" s="1175"/>
      <c r="AR44" s="1175"/>
      <c r="AS44" s="1175"/>
      <c r="AT44" s="1175"/>
      <c r="AU44" s="1175"/>
      <c r="AV44" s="1175"/>
      <c r="AW44" s="1175"/>
      <c r="AX44" s="1175"/>
      <c r="AY44" s="1175"/>
      <c r="AZ44" s="1175"/>
      <c r="BA44" s="1175"/>
      <c r="BB44" s="1175"/>
      <c r="BC44" s="1175"/>
      <c r="BD44" s="1175"/>
      <c r="BE44" s="1175"/>
      <c r="BF44" s="1175"/>
      <c r="BG44" s="1175"/>
      <c r="BH44" s="1175"/>
    </row>
    <row r="45" spans="1:60" ht="14.25">
      <c r="A45" s="1063"/>
      <c r="B45" s="1063"/>
      <c r="C45" s="1065"/>
      <c r="D45" s="1065"/>
      <c r="E45" s="1065"/>
      <c r="F45" s="1065"/>
      <c r="G45" s="1065"/>
      <c r="H45" s="1065"/>
      <c r="I45" s="1065"/>
      <c r="J45" s="1065"/>
      <c r="K45" s="1065"/>
      <c r="L45" s="1065"/>
      <c r="M45" s="1065"/>
      <c r="N45" s="1065"/>
      <c r="O45" s="1065"/>
      <c r="P45" s="1065"/>
      <c r="Q45" s="1065"/>
      <c r="R45" s="1065"/>
      <c r="S45" s="1065"/>
      <c r="T45" s="1065"/>
      <c r="U45" s="1065"/>
      <c r="V45" s="1065"/>
      <c r="W45" s="1065"/>
      <c r="X45" s="1065"/>
      <c r="Y45" s="1065"/>
      <c r="Z45" s="1066"/>
      <c r="AA45" s="1061"/>
      <c r="AB45" s="1061"/>
      <c r="AC45" s="1061"/>
      <c r="AD45" s="1061"/>
      <c r="AE45" s="1061"/>
      <c r="AF45" s="1061"/>
      <c r="AG45" s="1061"/>
      <c r="AH45" s="1061"/>
      <c r="AJ45" s="1175"/>
      <c r="AK45" s="1175"/>
      <c r="AL45" s="1175"/>
      <c r="AM45" s="1175"/>
      <c r="AN45" s="1175"/>
      <c r="AO45" s="1175"/>
      <c r="AP45" s="1175"/>
      <c r="AQ45" s="1175"/>
      <c r="AR45" s="1175"/>
      <c r="AS45" s="1175"/>
      <c r="AT45" s="1175"/>
      <c r="AU45" s="1175"/>
      <c r="AV45" s="1175"/>
      <c r="AW45" s="1175"/>
      <c r="AX45" s="1175"/>
      <c r="AY45" s="1175"/>
      <c r="AZ45" s="1175"/>
      <c r="BA45" s="1175"/>
      <c r="BB45" s="1175"/>
      <c r="BC45" s="1175"/>
      <c r="BD45" s="1175"/>
      <c r="BE45" s="1175"/>
      <c r="BF45" s="1175"/>
      <c r="BG45" s="1175"/>
      <c r="BH45" s="1175"/>
    </row>
    <row r="46" spans="1:60" ht="21">
      <c r="A46" s="1177" t="s">
        <v>301</v>
      </c>
      <c r="B46" s="1177"/>
      <c r="C46" s="1177"/>
      <c r="D46" s="1177"/>
      <c r="E46" s="1177"/>
      <c r="F46" s="1177"/>
      <c r="G46" s="1177"/>
      <c r="H46" s="1177"/>
      <c r="I46" s="1177"/>
      <c r="J46" s="1177"/>
      <c r="K46" s="1177"/>
      <c r="L46" s="1177"/>
      <c r="M46" s="1177"/>
      <c r="N46" s="1177"/>
      <c r="O46" s="1177"/>
      <c r="P46" s="1177"/>
      <c r="Q46" s="1177"/>
      <c r="R46" s="1177"/>
      <c r="S46" s="1177"/>
      <c r="T46" s="1177"/>
      <c r="U46" s="1177"/>
      <c r="V46" s="1177"/>
      <c r="W46" s="1065"/>
      <c r="X46" s="1065"/>
      <c r="Y46" s="1065"/>
      <c r="Z46" s="1066"/>
      <c r="AA46" s="1061"/>
      <c r="AB46" s="1061"/>
      <c r="AC46" s="1061"/>
      <c r="AD46" s="1061"/>
      <c r="AE46" s="1061"/>
      <c r="AF46" s="1061"/>
      <c r="AG46" s="1061"/>
      <c r="AH46" s="1061"/>
      <c r="AJ46" s="1175"/>
      <c r="AK46" s="1175"/>
      <c r="AL46" s="1175"/>
      <c r="AM46" s="1175"/>
      <c r="AN46" s="1175"/>
      <c r="AO46" s="1175"/>
      <c r="AP46" s="1175"/>
      <c r="AQ46" s="1175"/>
      <c r="AR46" s="1175"/>
      <c r="AS46" s="1175"/>
      <c r="AT46" s="1175"/>
      <c r="AU46" s="1175"/>
      <c r="AV46" s="1175"/>
      <c r="AW46" s="1175"/>
      <c r="AX46" s="1175"/>
      <c r="AY46" s="1175"/>
      <c r="AZ46" s="1175"/>
      <c r="BA46" s="1175"/>
      <c r="BB46" s="1175"/>
      <c r="BC46" s="1175"/>
      <c r="BD46" s="1175"/>
      <c r="BE46" s="1175"/>
      <c r="BF46" s="1175"/>
      <c r="BG46" s="1175"/>
      <c r="BH46" s="1175"/>
    </row>
    <row r="47" spans="1:60" ht="15" thickBot="1">
      <c r="A47" s="1063"/>
      <c r="B47" s="1063"/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  <c r="R47" s="1065"/>
      <c r="S47" s="1065"/>
      <c r="T47" s="1065"/>
      <c r="U47" s="1065"/>
      <c r="V47" s="1065"/>
      <c r="W47" s="1065"/>
      <c r="X47" s="1065"/>
      <c r="Y47" s="1065"/>
      <c r="Z47" s="1066"/>
      <c r="AA47" s="1061"/>
      <c r="AB47" s="1061"/>
      <c r="AC47" s="1061"/>
      <c r="AD47" s="1061"/>
      <c r="AE47" s="1061"/>
      <c r="AF47" s="1061"/>
      <c r="AG47" s="1061"/>
      <c r="AH47" s="1061"/>
      <c r="AJ47" s="1175"/>
      <c r="AK47" s="1175"/>
      <c r="AL47" s="1175"/>
      <c r="AM47" s="1175"/>
      <c r="AN47" s="1175"/>
      <c r="AO47" s="1175"/>
      <c r="AP47" s="1175"/>
      <c r="AQ47" s="1175"/>
      <c r="AR47" s="1175"/>
      <c r="AS47" s="1175"/>
      <c r="AT47" s="1175"/>
      <c r="AU47" s="1175"/>
      <c r="AV47" s="1175"/>
      <c r="AW47" s="1175"/>
      <c r="AX47" s="1175"/>
      <c r="AY47" s="1175"/>
      <c r="AZ47" s="1175"/>
      <c r="BA47" s="1175"/>
      <c r="BB47" s="1175"/>
      <c r="BC47" s="1175"/>
      <c r="BD47" s="1175"/>
      <c r="BE47" s="1175"/>
      <c r="BF47" s="1175"/>
      <c r="BG47" s="1175"/>
      <c r="BH47" s="1175"/>
    </row>
    <row r="48" spans="1:60" ht="15.75" thickBot="1">
      <c r="A48" s="1251">
        <v>1</v>
      </c>
      <c r="B48" s="1252" t="s">
        <v>274</v>
      </c>
      <c r="C48" s="1253"/>
      <c r="D48" s="1056"/>
      <c r="E48" s="1056"/>
      <c r="F48" s="1056">
        <v>7256</v>
      </c>
      <c r="G48" s="1056">
        <v>74409</v>
      </c>
      <c r="H48" s="1056">
        <v>74288</v>
      </c>
      <c r="I48" s="1056">
        <v>135950</v>
      </c>
      <c r="J48" s="1056">
        <v>46558</v>
      </c>
      <c r="K48" s="1056">
        <v>51488</v>
      </c>
      <c r="L48" s="1056">
        <v>54640</v>
      </c>
      <c r="M48" s="1056">
        <v>53411</v>
      </c>
      <c r="N48" s="1056">
        <v>45167</v>
      </c>
      <c r="O48" s="1056">
        <v>17330</v>
      </c>
      <c r="P48" s="1178">
        <v>43427.714</v>
      </c>
      <c r="Q48" s="1056">
        <v>39078</v>
      </c>
      <c r="R48" s="1178">
        <v>45244</v>
      </c>
      <c r="S48" s="1178">
        <v>33953</v>
      </c>
      <c r="T48" s="1178">
        <f>85031+4896</f>
        <v>89927</v>
      </c>
      <c r="U48" s="1178">
        <v>99487</v>
      </c>
      <c r="V48" s="1178">
        <v>184722</v>
      </c>
      <c r="W48" s="1178">
        <v>223376</v>
      </c>
      <c r="X48" s="1178">
        <v>131275</v>
      </c>
      <c r="Y48" s="1178">
        <f>149.881209301822*1000</f>
        <v>149881.209301822</v>
      </c>
      <c r="Z48" s="1179">
        <f>SUM(C48:Y48)</f>
        <v>1600867.923301822</v>
      </c>
      <c r="AA48" s="1061"/>
      <c r="AB48" s="1061"/>
      <c r="AC48" s="1061"/>
      <c r="AD48" s="1061"/>
      <c r="AE48" s="1061"/>
      <c r="AF48" s="1061"/>
      <c r="AG48" s="1061"/>
      <c r="AH48" s="1061"/>
      <c r="AJ48" s="1175"/>
      <c r="AK48" s="1175"/>
      <c r="AL48" s="1175"/>
      <c r="AM48" s="1175"/>
      <c r="AN48" s="1175"/>
      <c r="AO48" s="1175"/>
      <c r="AP48" s="1175"/>
      <c r="AQ48" s="1175"/>
      <c r="AR48" s="1175"/>
      <c r="AS48" s="1175"/>
      <c r="AT48" s="1175"/>
      <c r="AU48" s="1175"/>
      <c r="AV48" s="1175"/>
      <c r="AW48" s="1175"/>
      <c r="AX48" s="1175"/>
      <c r="AY48" s="1175"/>
      <c r="AZ48" s="1175"/>
      <c r="BA48" s="1175"/>
      <c r="BB48" s="1175"/>
      <c r="BC48" s="1175"/>
      <c r="BD48" s="1175"/>
      <c r="BE48" s="1175"/>
      <c r="BF48" s="1175"/>
      <c r="BG48" s="1175"/>
      <c r="BH48" s="1175"/>
    </row>
    <row r="49" spans="1:60" ht="15">
      <c r="A49" s="1180"/>
      <c r="B49" s="1181"/>
      <c r="C49" s="1064"/>
      <c r="D49" s="1064"/>
      <c r="E49" s="1064"/>
      <c r="F49" s="1064"/>
      <c r="G49" s="1064"/>
      <c r="H49" s="1064"/>
      <c r="I49" s="1064"/>
      <c r="J49" s="1064"/>
      <c r="K49" s="1064"/>
      <c r="L49" s="1064"/>
      <c r="M49" s="1064"/>
      <c r="N49" s="1064"/>
      <c r="O49" s="1064"/>
      <c r="P49" s="1064"/>
      <c r="Q49" s="1064"/>
      <c r="R49" s="1064"/>
      <c r="S49" s="1064"/>
      <c r="T49" s="1064"/>
      <c r="U49" s="1064"/>
      <c r="V49" s="1064"/>
      <c r="W49" s="1064"/>
      <c r="X49" s="1064"/>
      <c r="Y49" s="1064"/>
      <c r="Z49" s="1064"/>
      <c r="AA49" s="1061"/>
      <c r="AB49" s="1061"/>
      <c r="AC49" s="1061"/>
      <c r="AD49" s="1061"/>
      <c r="AE49" s="1061"/>
      <c r="AF49" s="1061"/>
      <c r="AG49" s="1061"/>
      <c r="AH49" s="1061"/>
      <c r="AJ49" s="1175"/>
      <c r="AK49" s="1175"/>
      <c r="AL49" s="1175"/>
      <c r="AM49" s="1175"/>
      <c r="AN49" s="1175"/>
      <c r="AO49" s="1175"/>
      <c r="AP49" s="1175"/>
      <c r="AQ49" s="1175"/>
      <c r="AR49" s="1175"/>
      <c r="AS49" s="1175"/>
      <c r="AT49" s="1175"/>
      <c r="AU49" s="1175"/>
      <c r="AV49" s="1175"/>
      <c r="AW49" s="1175"/>
      <c r="AX49" s="1175"/>
      <c r="AY49" s="1175"/>
      <c r="AZ49" s="1175"/>
      <c r="BA49" s="1175"/>
      <c r="BB49" s="1175"/>
      <c r="BC49" s="1175"/>
      <c r="BD49" s="1175"/>
      <c r="BE49" s="1175"/>
      <c r="BF49" s="1175"/>
      <c r="BG49" s="1175"/>
      <c r="BH49" s="1175"/>
    </row>
    <row r="50" spans="1:60" ht="21.75" customHeight="1" thickBot="1">
      <c r="A50" s="1063"/>
      <c r="B50" s="1063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6"/>
      <c r="AA50" s="1061"/>
      <c r="AB50" s="1061"/>
      <c r="AC50" s="1061"/>
      <c r="AD50" s="1061"/>
      <c r="AE50" s="1061"/>
      <c r="AF50" s="1061"/>
      <c r="AG50" s="1061"/>
      <c r="AH50" s="1061"/>
      <c r="AJ50" s="1175"/>
      <c r="AK50" s="1175"/>
      <c r="AL50" s="1175"/>
      <c r="AM50" s="1175"/>
      <c r="AN50" s="1175"/>
      <c r="AO50" s="1175"/>
      <c r="AP50" s="1175"/>
      <c r="AQ50" s="1175"/>
      <c r="AR50" s="1175"/>
      <c r="AS50" s="1175"/>
      <c r="AT50" s="1175"/>
      <c r="AU50" s="1175"/>
      <c r="AV50" s="1175"/>
      <c r="AW50" s="1175"/>
      <c r="AX50" s="1175"/>
      <c r="AY50" s="1175"/>
      <c r="AZ50" s="1175"/>
      <c r="BA50" s="1175"/>
      <c r="BB50" s="1175"/>
      <c r="BC50" s="1175"/>
      <c r="BD50" s="1175"/>
      <c r="BE50" s="1175"/>
      <c r="BF50" s="1175"/>
      <c r="BG50" s="1175"/>
      <c r="BH50" s="1175"/>
    </row>
    <row r="51" spans="1:34" ht="25.5" customHeight="1" thickBot="1">
      <c r="A51" s="1182" t="s">
        <v>33</v>
      </c>
      <c r="B51" s="1183"/>
      <c r="C51" s="1184">
        <f aca="true" t="shared" si="7" ref="C51:T51">C17+C25+C42+C48</f>
        <v>136599</v>
      </c>
      <c r="D51" s="1184">
        <f t="shared" si="7"/>
        <v>114859</v>
      </c>
      <c r="E51" s="1184">
        <f t="shared" si="7"/>
        <v>163753</v>
      </c>
      <c r="F51" s="1184">
        <f t="shared" si="7"/>
        <v>174408</v>
      </c>
      <c r="G51" s="1184">
        <f t="shared" si="7"/>
        <v>153798.708</v>
      </c>
      <c r="H51" s="1184">
        <f t="shared" si="7"/>
        <v>229000.999</v>
      </c>
      <c r="I51" s="1184">
        <f t="shared" si="7"/>
        <v>312926.207</v>
      </c>
      <c r="J51" s="1184">
        <f t="shared" si="7"/>
        <v>254447.96600000001</v>
      </c>
      <c r="K51" s="1184">
        <f t="shared" si="7"/>
        <v>254279.34300000002</v>
      </c>
      <c r="L51" s="1184">
        <f t="shared" si="7"/>
        <v>256364.5590118343</v>
      </c>
      <c r="M51" s="1184">
        <f t="shared" si="7"/>
        <v>219400</v>
      </c>
      <c r="N51" s="1184">
        <f t="shared" si="7"/>
        <v>140225.68</v>
      </c>
      <c r="O51" s="1184">
        <f t="shared" si="7"/>
        <v>127185</v>
      </c>
      <c r="P51" s="1184">
        <f t="shared" si="7"/>
        <v>154259.75400000002</v>
      </c>
      <c r="Q51" s="1184">
        <f t="shared" si="7"/>
        <v>155193.43</v>
      </c>
      <c r="R51" s="1184">
        <f t="shared" si="7"/>
        <v>162650.03</v>
      </c>
      <c r="S51" s="1184">
        <f t="shared" si="7"/>
        <v>129694.5</v>
      </c>
      <c r="T51" s="1184">
        <f t="shared" si="7"/>
        <v>229642.19999999998</v>
      </c>
      <c r="U51" s="1184">
        <f>U17+U25+U42+U48</f>
        <v>228369</v>
      </c>
      <c r="V51" s="1184">
        <f>V17+V25+V42+V48</f>
        <v>434703</v>
      </c>
      <c r="W51" s="1184">
        <f>W17+W25+W42+W48</f>
        <v>388987</v>
      </c>
      <c r="X51" s="1185">
        <f>X17+X25+X42+X48</f>
        <v>238248.7</v>
      </c>
      <c r="Y51" s="1185">
        <f>Y17+Y25+Y42+Y48</f>
        <v>271504.209301822</v>
      </c>
      <c r="Z51" s="1185">
        <f>Z17+Z25+Z42+Z48</f>
        <v>4930499.285313657</v>
      </c>
      <c r="AA51" s="1060"/>
      <c r="AB51" s="1060"/>
      <c r="AC51" s="1186"/>
      <c r="AD51" s="1187"/>
      <c r="AE51" s="1187"/>
      <c r="AF51" s="1186"/>
      <c r="AG51" s="1060"/>
      <c r="AH51" s="1060"/>
    </row>
    <row r="52" spans="1:60" ht="12.75">
      <c r="A52" s="1062"/>
      <c r="B52" s="1188"/>
      <c r="C52" s="1061"/>
      <c r="D52" s="1061"/>
      <c r="E52" s="1061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1"/>
      <c r="T52" s="1061"/>
      <c r="U52" s="1061"/>
      <c r="V52" s="1061"/>
      <c r="W52" s="1061"/>
      <c r="X52" s="1061"/>
      <c r="Y52" s="1061"/>
      <c r="Z52" s="1061"/>
      <c r="AA52" s="1061"/>
      <c r="AB52" s="1061"/>
      <c r="AC52" s="1189"/>
      <c r="AD52" s="1186"/>
      <c r="AE52" s="1186"/>
      <c r="AF52" s="1189"/>
      <c r="AG52" s="1061"/>
      <c r="AH52" s="1061"/>
      <c r="AJ52" s="1175"/>
      <c r="AK52" s="1175"/>
      <c r="AL52" s="1175"/>
      <c r="AM52" s="1175"/>
      <c r="AN52" s="1175"/>
      <c r="AO52" s="1175"/>
      <c r="AP52" s="1175"/>
      <c r="AQ52" s="1175"/>
      <c r="AR52" s="1175"/>
      <c r="AS52" s="1175"/>
      <c r="AT52" s="1175"/>
      <c r="AU52" s="1175"/>
      <c r="AV52" s="1175"/>
      <c r="AW52" s="1175"/>
      <c r="AX52" s="1175"/>
      <c r="AY52" s="1175"/>
      <c r="AZ52" s="1175"/>
      <c r="BA52" s="1175"/>
      <c r="BB52" s="1175"/>
      <c r="BC52" s="1175"/>
      <c r="BD52" s="1175"/>
      <c r="BE52" s="1175"/>
      <c r="BF52" s="1175"/>
      <c r="BG52" s="1175"/>
      <c r="BH52" s="1175"/>
    </row>
    <row r="53" spans="1:60" ht="13.5">
      <c r="A53" s="1190" t="s">
        <v>275</v>
      </c>
      <c r="B53" s="1188"/>
      <c r="C53" s="1061"/>
      <c r="D53" s="1061"/>
      <c r="E53" s="1061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1"/>
      <c r="T53" s="1061"/>
      <c r="U53" s="1061"/>
      <c r="V53" s="1061"/>
      <c r="W53" s="1061"/>
      <c r="X53" s="1061"/>
      <c r="Y53" s="1061"/>
      <c r="Z53" s="1061"/>
      <c r="AA53" s="1061"/>
      <c r="AB53" s="1061"/>
      <c r="AC53" s="1189"/>
      <c r="AD53" s="1186"/>
      <c r="AE53" s="1186"/>
      <c r="AF53" s="1189"/>
      <c r="AG53" s="1061"/>
      <c r="AH53" s="1061"/>
      <c r="AJ53" s="1175"/>
      <c r="AK53" s="1175"/>
      <c r="AL53" s="1175"/>
      <c r="AM53" s="1175"/>
      <c r="AN53" s="1175"/>
      <c r="AO53" s="1175"/>
      <c r="AP53" s="1175"/>
      <c r="AQ53" s="1175"/>
      <c r="AR53" s="1175"/>
      <c r="AS53" s="1175"/>
      <c r="AT53" s="1175"/>
      <c r="AU53" s="1175"/>
      <c r="AV53" s="1175"/>
      <c r="AW53" s="1175"/>
      <c r="AX53" s="1175"/>
      <c r="AY53" s="1175"/>
      <c r="AZ53" s="1175"/>
      <c r="BA53" s="1175"/>
      <c r="BB53" s="1175"/>
      <c r="BC53" s="1175"/>
      <c r="BD53" s="1175"/>
      <c r="BE53" s="1175"/>
      <c r="BF53" s="1175"/>
      <c r="BG53" s="1175"/>
      <c r="BH53" s="1175"/>
    </row>
    <row r="54" spans="29:32" ht="12.75">
      <c r="AC54" s="1187"/>
      <c r="AD54" s="1191"/>
      <c r="AE54" s="1191"/>
      <c r="AF54" s="1187"/>
    </row>
    <row r="55" spans="2:34" ht="12.75">
      <c r="B55" s="1192"/>
      <c r="D55" s="1060"/>
      <c r="E55" s="1060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0"/>
      <c r="T55" s="1060"/>
      <c r="U55" s="1060"/>
      <c r="V55" s="1060"/>
      <c r="Z55" s="1060"/>
      <c r="AA55" s="1060"/>
      <c r="AB55" s="1060"/>
      <c r="AC55" s="1189"/>
      <c r="AD55" s="1187"/>
      <c r="AE55" s="1187"/>
      <c r="AF55" s="1186"/>
      <c r="AG55" s="1060"/>
      <c r="AH55" s="1060"/>
    </row>
    <row r="56" spans="2:34" ht="12.75">
      <c r="B56" s="1060"/>
      <c r="C56" s="1060"/>
      <c r="D56" s="1060"/>
      <c r="E56" s="1060"/>
      <c r="F56" s="1060"/>
      <c r="G56" s="1060"/>
      <c r="H56" s="1060"/>
      <c r="I56" s="1060"/>
      <c r="J56" s="1060"/>
      <c r="K56" s="1060"/>
      <c r="L56" s="1060"/>
      <c r="M56" s="1060"/>
      <c r="N56" s="1060"/>
      <c r="O56" s="1060"/>
      <c r="P56" s="1060"/>
      <c r="Q56" s="1060"/>
      <c r="R56" s="1060"/>
      <c r="S56" s="1060"/>
      <c r="T56" s="1060"/>
      <c r="U56" s="1060"/>
      <c r="V56" s="1060"/>
      <c r="AA56" s="1061"/>
      <c r="AB56" s="1061"/>
      <c r="AC56" s="1189"/>
      <c r="AD56" s="1187"/>
      <c r="AE56" s="1187"/>
      <c r="AF56" s="1193"/>
      <c r="AG56" s="1062"/>
      <c r="AH56" s="1062"/>
    </row>
    <row r="57" spans="3:34" ht="12.75">
      <c r="C57" s="1117"/>
      <c r="D57" s="1118"/>
      <c r="E57" s="1118"/>
      <c r="F57" s="1118"/>
      <c r="G57" s="1118"/>
      <c r="V57" s="1175"/>
      <c r="Z57" s="1062"/>
      <c r="AA57" s="1062"/>
      <c r="AB57" s="1062"/>
      <c r="AC57" s="1193"/>
      <c r="AD57" s="1187"/>
      <c r="AE57" s="1187"/>
      <c r="AF57" s="1193"/>
      <c r="AG57" s="1062"/>
      <c r="AH57" s="1062"/>
    </row>
    <row r="58" spans="3:34" ht="12.75">
      <c r="C58" s="1117"/>
      <c r="F58" s="1118"/>
      <c r="G58" s="1118"/>
      <c r="H58" s="1117"/>
      <c r="Z58" s="1062"/>
      <c r="AA58" s="1062"/>
      <c r="AB58" s="1062"/>
      <c r="AC58" s="1193"/>
      <c r="AD58" s="1193"/>
      <c r="AE58" s="1193"/>
      <c r="AF58" s="1193"/>
      <c r="AG58" s="1062"/>
      <c r="AH58" s="1062"/>
    </row>
    <row r="59" spans="3:34" ht="12.75">
      <c r="C59" s="1117"/>
      <c r="Z59" s="1062"/>
      <c r="AA59" s="1062"/>
      <c r="AB59" s="1062"/>
      <c r="AC59" s="1062"/>
      <c r="AD59" s="1062"/>
      <c r="AE59" s="1062"/>
      <c r="AF59" s="1062"/>
      <c r="AG59" s="1062"/>
      <c r="AH59" s="1062"/>
    </row>
  </sheetData>
  <sheetProtection/>
  <mergeCells count="6">
    <mergeCell ref="A6:Z6"/>
    <mergeCell ref="A17:B17"/>
    <mergeCell ref="A25:B25"/>
    <mergeCell ref="A42:B42"/>
    <mergeCell ref="A46:V46"/>
    <mergeCell ref="A51:B51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B35"/>
  <sheetViews>
    <sheetView showGridLines="0" tabSelected="1" zoomScale="85" zoomScaleNormal="85" zoomScaleSheetLayoutView="100" zoomScalePageLayoutView="0" workbookViewId="0" topLeftCell="A166">
      <selection activeCell="AB119" sqref="AB119"/>
    </sheetView>
  </sheetViews>
  <sheetFormatPr defaultColWidth="11.421875" defaultRowHeight="12.75"/>
  <cols>
    <col min="1" max="1" width="3.140625" style="1017" customWidth="1"/>
    <col min="2" max="2" width="16.8515625" style="1017" customWidth="1"/>
    <col min="3" max="3" width="10.00390625" style="1017" customWidth="1"/>
    <col min="4" max="8" width="6.57421875" style="1017" customWidth="1"/>
    <col min="9" max="26" width="10.7109375" style="1017" customWidth="1"/>
    <col min="27" max="27" width="8.140625" style="878" customWidth="1"/>
    <col min="28" max="28" width="11.00390625" style="1194" customWidth="1"/>
    <col min="29" max="30" width="5.7109375" style="1194" customWidth="1"/>
    <col min="31" max="53" width="11.421875" style="1195" customWidth="1"/>
    <col min="54" max="16384" width="11.421875" style="1017" customWidth="1"/>
  </cols>
  <sheetData>
    <row r="5" spans="32:54" ht="12.75">
      <c r="AF5" s="1196">
        <v>1990</v>
      </c>
      <c r="AG5" s="1196">
        <v>1991</v>
      </c>
      <c r="AH5" s="1196">
        <v>1992</v>
      </c>
      <c r="AI5" s="1196">
        <v>1993</v>
      </c>
      <c r="AJ5" s="1196">
        <v>1994</v>
      </c>
      <c r="AK5" s="1196">
        <v>1995</v>
      </c>
      <c r="AL5" s="1196">
        <v>1996</v>
      </c>
      <c r="AM5" s="1196">
        <v>1997</v>
      </c>
      <c r="AN5" s="1196">
        <v>1998</v>
      </c>
      <c r="AO5" s="1196">
        <v>1999</v>
      </c>
      <c r="AP5" s="1196">
        <v>2000</v>
      </c>
      <c r="AQ5" s="1196">
        <v>2001</v>
      </c>
      <c r="AR5" s="1196">
        <v>2002</v>
      </c>
      <c r="AS5" s="1196">
        <v>2003</v>
      </c>
      <c r="AT5" s="1196">
        <v>2004</v>
      </c>
      <c r="AU5" s="1196">
        <v>2005</v>
      </c>
      <c r="AV5" s="1196">
        <v>2006</v>
      </c>
      <c r="AW5" s="1196">
        <v>2007</v>
      </c>
      <c r="AX5" s="1196">
        <v>2008</v>
      </c>
      <c r="AY5" s="1196">
        <v>2009</v>
      </c>
      <c r="AZ5" s="1196">
        <v>2010</v>
      </c>
      <c r="BA5" s="1196">
        <v>2011</v>
      </c>
      <c r="BB5" s="1196">
        <v>2012</v>
      </c>
    </row>
    <row r="6" spans="2:54" ht="15.75">
      <c r="B6" s="1197" t="s">
        <v>299</v>
      </c>
      <c r="C6" s="1197"/>
      <c r="D6" s="1197"/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1197"/>
      <c r="Q6" s="1197"/>
      <c r="R6" s="1197"/>
      <c r="S6" s="1197"/>
      <c r="T6" s="1197"/>
      <c r="U6" s="1197"/>
      <c r="V6" s="1197"/>
      <c r="W6" s="1197"/>
      <c r="X6" s="1197"/>
      <c r="Y6" s="1197"/>
      <c r="Z6" s="1197"/>
      <c r="AA6" s="1198"/>
      <c r="AB6" s="1199"/>
      <c r="AC6" s="1199"/>
      <c r="AD6" s="1199"/>
      <c r="AE6" s="1195" t="s">
        <v>0</v>
      </c>
      <c r="AF6" s="1200">
        <f>('10.17.1 Inversion Privada'!C69+'10.17.2 y 3 I Publica y Gub.'!C17)/1000</f>
        <v>42.708</v>
      </c>
      <c r="AG6" s="1200">
        <f>('10.17.1 Inversion Privada'!D69+'10.17.2 y 3 I Publica y Gub.'!D17)/1000</f>
        <v>27.515</v>
      </c>
      <c r="AH6" s="1200">
        <f>('10.17.1 Inversion Privada'!E69+'10.17.2 y 3 I Publica y Gub.'!E17)/1000</f>
        <v>71.171</v>
      </c>
      <c r="AI6" s="1200">
        <f>('10.17.1 Inversion Privada'!F69+'10.17.2 y 3 I Publica y Gub.'!F17)/1000</f>
        <v>68.373</v>
      </c>
      <c r="AJ6" s="1200">
        <f>('10.17.1 Inversion Privada'!G69+'10.17.2 y 3 I Publica y Gub.'!G17)/1000</f>
        <v>66.006618</v>
      </c>
      <c r="AK6" s="1200">
        <f>('10.17.1 Inversion Privada'!H69+'10.17.2 y 3 I Publica y Gub.'!H17)/1000</f>
        <v>46.052738999999995</v>
      </c>
      <c r="AL6" s="1200">
        <f>('10.17.1 Inversion Privada'!I69+'10.17.2 y 3 I Publica y Gub.'!I17)/1000</f>
        <v>162.874897</v>
      </c>
      <c r="AM6" s="1200">
        <f>('10.17.1 Inversion Privada'!J69+'10.17.2 y 3 I Publica y Gub.'!J17)/1000</f>
        <v>342.77713100000005</v>
      </c>
      <c r="AN6" s="1200">
        <f>('10.17.1 Inversion Privada'!K69+'10.17.2 y 3 I Publica y Gub.'!K17)/1000</f>
        <v>364.88524100000006</v>
      </c>
      <c r="AO6" s="1200">
        <f>('10.17.1 Inversion Privada'!L69+'10.17.2 y 3 I Publica y Gub.'!L17)/1000</f>
        <v>416.783328</v>
      </c>
      <c r="AP6" s="1200">
        <f>('10.17.1 Inversion Privada'!M69+'10.17.2 y 3 I Publica y Gub.'!M17)/1000</f>
        <v>331.438</v>
      </c>
      <c r="AQ6" s="1200">
        <f>('10.17.1 Inversion Privada'!N69+'10.17.2 y 3 I Publica y Gub.'!N17)/1000</f>
        <v>95.10517999999999</v>
      </c>
      <c r="AR6" s="1200">
        <f>('10.17.1 Inversion Privada'!O69+'10.17.2 y 3 I Publica y Gub.'!O17)/1000</f>
        <v>95.518</v>
      </c>
      <c r="AS6" s="1200">
        <f>('10.17.1 Inversion Privada'!P69+'10.17.2 y 3 I Publica y Gub.'!P17)/1000</f>
        <v>78.1935</v>
      </c>
      <c r="AT6" s="1200">
        <f>('10.17.1 Inversion Privada'!Q69+'10.17.2 y 3 I Publica y Gub.'!Q17)/1000</f>
        <v>156.07822</v>
      </c>
      <c r="AU6" s="1200">
        <f>('10.17.1 Inversion Privada'!R69+'10.17.2 y 3 I Publica y Gub.'!R17)/1000</f>
        <v>192.31270999999998</v>
      </c>
      <c r="AV6" s="1200">
        <f>('10.17.1 Inversion Privada'!S69+'10.17.2 y 3 I Publica y Gub.'!S17)/1000</f>
        <v>279.31392</v>
      </c>
      <c r="AW6" s="1200">
        <f>('10.17.1 Inversion Privada'!T69+'10.17.2 y 3 I Publica y Gub.'!T17)/1000</f>
        <v>307.1913</v>
      </c>
      <c r="AX6" s="1200">
        <f>('10.17.1 Inversion Privada'!U69+'10.17.2 y 3 I Publica y Gub.'!U17)/1000</f>
        <v>469.077</v>
      </c>
      <c r="AY6" s="1200">
        <f>('10.17.1 Inversion Privada'!V69+'10.17.2 y 3 I Publica y Gub.'!V17)/1000</f>
        <v>426.132</v>
      </c>
      <c r="AZ6" s="1200">
        <f>('10.17.1 Inversion Privada'!W69+'10.17.2 y 3 I Publica y Gub.'!W17)/1000</f>
        <v>558.634</v>
      </c>
      <c r="BA6" s="1200">
        <f>('10.17.1 Inversion Privada'!X69+'10.17.2 y 3 I Publica y Gub.'!X17)/1000</f>
        <v>1240.7880652000001</v>
      </c>
      <c r="BB6" s="1200">
        <f>('10.17.1 Inversion Privada'!Y69+'10.17.2 y 3 I Publica y Gub.'!Y17)/1000</f>
        <v>1781.40966045</v>
      </c>
    </row>
    <row r="7" spans="2:54" ht="15.75">
      <c r="B7" s="1201"/>
      <c r="C7" s="1201"/>
      <c r="D7" s="1201"/>
      <c r="E7" s="1201"/>
      <c r="F7" s="1201"/>
      <c r="G7" s="1201"/>
      <c r="H7" s="1201"/>
      <c r="I7" s="1201"/>
      <c r="J7" s="1201"/>
      <c r="K7" s="1201"/>
      <c r="L7" s="1201"/>
      <c r="M7" s="1201"/>
      <c r="N7" s="1201"/>
      <c r="O7" s="1201"/>
      <c r="P7" s="1201"/>
      <c r="Q7" s="1201"/>
      <c r="R7" s="1201"/>
      <c r="S7" s="1201"/>
      <c r="T7" s="1201"/>
      <c r="U7" s="1201"/>
      <c r="V7" s="1201"/>
      <c r="W7" s="1201"/>
      <c r="X7" s="1201"/>
      <c r="Y7" s="1201"/>
      <c r="Z7" s="1201"/>
      <c r="AA7" s="1198"/>
      <c r="AB7" s="1199"/>
      <c r="AC7" s="1199"/>
      <c r="AD7" s="1199"/>
      <c r="AE7" s="1195" t="s">
        <v>276</v>
      </c>
      <c r="AF7" s="1200">
        <f>'10.17.1 Inversion Privada'!C69/1000</f>
        <v>0</v>
      </c>
      <c r="AG7" s="1200">
        <f>'10.17.1 Inversion Privada'!D69/1000</f>
        <v>0</v>
      </c>
      <c r="AH7" s="1200">
        <f>'10.17.1 Inversion Privada'!E69/1000</f>
        <v>0</v>
      </c>
      <c r="AI7" s="1200">
        <f>'10.17.1 Inversion Privada'!F69/1000</f>
        <v>0</v>
      </c>
      <c r="AJ7" s="1200">
        <f>'10.17.1 Inversion Privada'!G69/1000</f>
        <v>31.47889</v>
      </c>
      <c r="AK7" s="1200">
        <f>'10.17.1 Inversion Privada'!H69/1000</f>
        <v>7.6346300000000005</v>
      </c>
      <c r="AL7" s="1200">
        <f>'10.17.1 Inversion Privada'!I69/1000</f>
        <v>97.60745999999999</v>
      </c>
      <c r="AM7" s="1200">
        <f>'10.17.1 Inversion Privada'!J69/1000</f>
        <v>239.53995500000002</v>
      </c>
      <c r="AN7" s="1200">
        <f>'10.17.1 Inversion Privada'!K69/1000</f>
        <v>250.346128</v>
      </c>
      <c r="AO7" s="1200">
        <f>'10.17.1 Inversion Privada'!L69/1000</f>
        <v>280.451419</v>
      </c>
      <c r="AP7" s="1200">
        <f>'10.17.1 Inversion Privada'!M69/1000</f>
        <v>208.222</v>
      </c>
      <c r="AQ7" s="1200">
        <f>'10.17.1 Inversion Privada'!N69/1000</f>
        <v>18.8281</v>
      </c>
      <c r="AR7" s="1200">
        <f>'10.17.1 Inversion Privada'!O69/1000</f>
        <v>17.72</v>
      </c>
      <c r="AS7" s="1200">
        <f>'10.17.1 Inversion Privada'!P69/1000</f>
        <v>11.088</v>
      </c>
      <c r="AT7" s="1200">
        <f>'10.17.1 Inversion Privada'!Q69/1000</f>
        <v>89.077</v>
      </c>
      <c r="AU7" s="1200">
        <f>'10.17.1 Inversion Privada'!R69/1000</f>
        <v>138.546</v>
      </c>
      <c r="AV7" s="1200">
        <f>'10.17.1 Inversion Privada'!S69/1000</f>
        <v>250.116</v>
      </c>
      <c r="AW7" s="1200">
        <f>'10.17.1 Inversion Privada'!T69/1000</f>
        <v>233.692</v>
      </c>
      <c r="AX7" s="1200">
        <f>'10.17.1 Inversion Privada'!U69/1000</f>
        <v>442.564</v>
      </c>
      <c r="AY7" s="1200">
        <f>'10.17.1 Inversion Privada'!V69/1000</f>
        <v>337.283</v>
      </c>
      <c r="AZ7" s="1200">
        <f>'10.17.1 Inversion Privada'!W69/1000</f>
        <v>533.52</v>
      </c>
      <c r="BA7" s="1200">
        <f>'10.17.1 Inversion Privada'!X69/1000</f>
        <v>1212.1923652</v>
      </c>
      <c r="BB7" s="1200">
        <f>'10.17.1 Inversion Privada'!Y69/1000</f>
        <v>1746.12966045</v>
      </c>
    </row>
    <row r="8" spans="2:54" ht="15.75">
      <c r="B8" s="1201"/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1"/>
      <c r="P8" s="1201"/>
      <c r="Q8" s="1201"/>
      <c r="R8" s="1201"/>
      <c r="S8" s="1201"/>
      <c r="T8" s="1201"/>
      <c r="U8" s="1201"/>
      <c r="V8" s="1201"/>
      <c r="W8" s="1201"/>
      <c r="X8" s="1201"/>
      <c r="Y8" s="1201"/>
      <c r="Z8" s="1201"/>
      <c r="AA8" s="1198"/>
      <c r="AB8" s="1199"/>
      <c r="AC8" s="1199"/>
      <c r="AD8" s="1199"/>
      <c r="AE8" s="1195" t="s">
        <v>277</v>
      </c>
      <c r="AF8" s="1200">
        <f>'10.17.2 y 3 I Publica y Gub.'!C17/1000</f>
        <v>42.708</v>
      </c>
      <c r="AG8" s="1200">
        <f>'10.17.2 y 3 I Publica y Gub.'!D17/1000</f>
        <v>27.515</v>
      </c>
      <c r="AH8" s="1200">
        <f>'10.17.2 y 3 I Publica y Gub.'!E17/1000</f>
        <v>71.171</v>
      </c>
      <c r="AI8" s="1200">
        <f>'10.17.2 y 3 I Publica y Gub.'!F17/1000</f>
        <v>68.373</v>
      </c>
      <c r="AJ8" s="1200">
        <f>'10.17.2 y 3 I Publica y Gub.'!G17/1000</f>
        <v>34.527728</v>
      </c>
      <c r="AK8" s="1200">
        <f>'10.17.2 y 3 I Publica y Gub.'!H17/1000</f>
        <v>38.418108999999994</v>
      </c>
      <c r="AL8" s="1200">
        <f>'10.17.2 y 3 I Publica y Gub.'!I17/1000</f>
        <v>65.267437</v>
      </c>
      <c r="AM8" s="1200">
        <f>'10.17.2 y 3 I Publica y Gub.'!J17/1000</f>
        <v>103.237176</v>
      </c>
      <c r="AN8" s="1200">
        <f>'10.17.2 y 3 I Publica y Gub.'!K17/1000</f>
        <v>114.53911300000001</v>
      </c>
      <c r="AO8" s="1200">
        <f>'10.17.2 y 3 I Publica y Gub.'!L17/1000</f>
        <v>136.331909</v>
      </c>
      <c r="AP8" s="1200">
        <f>'10.17.2 y 3 I Publica y Gub.'!M17/1000</f>
        <v>123.216</v>
      </c>
      <c r="AQ8" s="1200">
        <f>'10.17.2 y 3 I Publica y Gub.'!N17/1000</f>
        <v>76.27708</v>
      </c>
      <c r="AR8" s="1200">
        <f>'10.17.2 y 3 I Publica y Gub.'!O17/1000</f>
        <v>77.798</v>
      </c>
      <c r="AS8" s="1200">
        <f>'10.17.2 y 3 I Publica y Gub.'!P17/1000</f>
        <v>67.1055</v>
      </c>
      <c r="AT8" s="1200">
        <f>'10.17.2 y 3 I Publica y Gub.'!Q17/1000</f>
        <v>67.00122</v>
      </c>
      <c r="AU8" s="1200">
        <f>'10.17.2 y 3 I Publica y Gub.'!R17/1000</f>
        <v>53.766709999999996</v>
      </c>
      <c r="AV8" s="1200">
        <f>'10.17.2 y 3 I Publica y Gub.'!S17/1000</f>
        <v>29.19792</v>
      </c>
      <c r="AW8" s="1200">
        <f>'10.17.2 y 3 I Publica y Gub.'!T17/1000</f>
        <v>73.49929999999999</v>
      </c>
      <c r="AX8" s="1200">
        <f>'10.17.2 y 3 I Publica y Gub.'!U17/1000</f>
        <v>26.513</v>
      </c>
      <c r="AY8" s="1200">
        <f>'10.17.2 y 3 I Publica y Gub.'!V17/1000</f>
        <v>88.849</v>
      </c>
      <c r="AZ8" s="1200">
        <f>'10.17.2 y 3 I Publica y Gub.'!W17/1000</f>
        <v>25.114</v>
      </c>
      <c r="BA8" s="1200">
        <f>'10.17.2 y 3 I Publica y Gub.'!X17/1000</f>
        <v>28.5957</v>
      </c>
      <c r="BB8" s="1200">
        <f>'10.17.2 y 3 I Publica y Gub.'!Y17/1000</f>
        <v>35.28</v>
      </c>
    </row>
    <row r="9" spans="2:33" ht="12.75">
      <c r="B9" s="1202" t="s">
        <v>278</v>
      </c>
      <c r="C9" s="1203">
        <v>1990</v>
      </c>
      <c r="D9" s="1203">
        <v>1991</v>
      </c>
      <c r="E9" s="1203">
        <v>1992</v>
      </c>
      <c r="F9" s="1203">
        <v>1993</v>
      </c>
      <c r="G9" s="1203">
        <v>1994</v>
      </c>
      <c r="H9" s="1203">
        <v>1995</v>
      </c>
      <c r="I9" s="1203">
        <v>1996</v>
      </c>
      <c r="J9" s="1203">
        <v>1997</v>
      </c>
      <c r="K9" s="1203">
        <v>1998</v>
      </c>
      <c r="L9" s="1203">
        <v>1999</v>
      </c>
      <c r="M9" s="1203">
        <v>2000</v>
      </c>
      <c r="N9" s="1203">
        <v>2001</v>
      </c>
      <c r="O9" s="1203">
        <v>2002</v>
      </c>
      <c r="P9" s="1203">
        <v>2003</v>
      </c>
      <c r="Q9" s="1203">
        <v>2004</v>
      </c>
      <c r="R9" s="1203">
        <v>2005</v>
      </c>
      <c r="S9" s="1203">
        <v>2006</v>
      </c>
      <c r="T9" s="1203">
        <v>2007</v>
      </c>
      <c r="U9" s="1203">
        <v>2008</v>
      </c>
      <c r="V9" s="1203">
        <v>2009</v>
      </c>
      <c r="W9" s="1203">
        <v>2010</v>
      </c>
      <c r="X9" s="1203">
        <v>2011</v>
      </c>
      <c r="Y9" s="1203">
        <v>2012</v>
      </c>
      <c r="Z9" s="1204" t="s">
        <v>0</v>
      </c>
      <c r="AA9" s="1205"/>
      <c r="AB9" s="1206"/>
      <c r="AC9" s="1206"/>
      <c r="AD9" s="1206"/>
      <c r="AG9" s="1207"/>
    </row>
    <row r="10" spans="2:33" ht="12.75">
      <c r="B10" s="1208"/>
      <c r="C10" s="1240">
        <f>C17+C18+C19</f>
        <v>136.599</v>
      </c>
      <c r="D10" s="1240">
        <f aca="true" t="shared" si="0" ref="D10:Y10">D17+D18+D19</f>
        <v>114.859</v>
      </c>
      <c r="E10" s="1240">
        <f t="shared" si="0"/>
        <v>163.753</v>
      </c>
      <c r="F10" s="1240">
        <f t="shared" si="0"/>
        <v>174.408</v>
      </c>
      <c r="G10" s="1240">
        <f t="shared" si="0"/>
        <v>214.152598</v>
      </c>
      <c r="H10" s="1240">
        <f t="shared" si="0"/>
        <v>295.15262900000005</v>
      </c>
      <c r="I10" s="1240">
        <f t="shared" si="0"/>
        <v>508.703377</v>
      </c>
      <c r="J10" s="1240">
        <f t="shared" si="0"/>
        <v>593.516881</v>
      </c>
      <c r="K10" s="1240">
        <f t="shared" si="0"/>
        <v>612.5214309999999</v>
      </c>
      <c r="L10" s="1240">
        <f t="shared" si="0"/>
        <v>763.7302280118342</v>
      </c>
      <c r="M10" s="1240">
        <f t="shared" si="0"/>
        <v>652.989</v>
      </c>
      <c r="N10" s="1240">
        <f t="shared" si="0"/>
        <v>336.39697</v>
      </c>
      <c r="O10" s="1240">
        <f t="shared" si="0"/>
        <v>247.20600000000002</v>
      </c>
      <c r="P10" s="1240">
        <f t="shared" si="0"/>
        <v>226.411864</v>
      </c>
      <c r="Q10" s="1240">
        <f t="shared" si="0"/>
        <v>320.25719000000004</v>
      </c>
      <c r="R10" s="1240">
        <f t="shared" si="0"/>
        <v>392.53301</v>
      </c>
      <c r="S10" s="1240">
        <f t="shared" si="0"/>
        <v>469.89295000000004</v>
      </c>
      <c r="T10" s="1240">
        <f t="shared" si="0"/>
        <v>618.1507700000001</v>
      </c>
      <c r="U10" s="1240">
        <f t="shared" si="0"/>
        <v>847.5749999999999</v>
      </c>
      <c r="V10" s="1240">
        <f t="shared" si="0"/>
        <v>1154.282</v>
      </c>
      <c r="W10" s="1240">
        <f t="shared" si="0"/>
        <v>1367.7389999999998</v>
      </c>
      <c r="X10" s="1240">
        <f t="shared" si="0"/>
        <v>1879.9996652000002</v>
      </c>
      <c r="Y10" s="1240">
        <f t="shared" si="0"/>
        <v>2738.9250697518223</v>
      </c>
      <c r="Z10" s="1209">
        <f>SUM(C10:Y10)</f>
        <v>14829.754632963657</v>
      </c>
      <c r="AA10" s="1035"/>
      <c r="AB10" s="1210"/>
      <c r="AC10" s="1210"/>
      <c r="AD10" s="1210"/>
      <c r="AG10" s="1207"/>
    </row>
    <row r="11" spans="2:36" ht="12.75">
      <c r="B11" s="1017" t="s">
        <v>279</v>
      </c>
      <c r="AI11" s="1211"/>
      <c r="AJ11" s="1211"/>
    </row>
    <row r="12" spans="35:36" ht="12.75">
      <c r="AI12" s="1212"/>
      <c r="AJ12" s="1212"/>
    </row>
    <row r="13" spans="35:36" ht="12.75">
      <c r="AI13" s="1212"/>
      <c r="AJ13" s="1212"/>
    </row>
    <row r="14" spans="2:36" ht="15">
      <c r="B14" s="1213" t="s">
        <v>280</v>
      </c>
      <c r="AF14" s="1195">
        <v>1000</v>
      </c>
      <c r="AI14" s="1212"/>
      <c r="AJ14" s="1212"/>
    </row>
    <row r="15" spans="32:36" ht="12.75">
      <c r="AF15" s="1214"/>
      <c r="AG15" s="1214"/>
      <c r="AH15" s="1214"/>
      <c r="AI15" s="1212"/>
      <c r="AJ15" s="1212"/>
    </row>
    <row r="16" spans="2:54" ht="12.75">
      <c r="B16" s="1215" t="s">
        <v>281</v>
      </c>
      <c r="C16" s="1215">
        <v>1990</v>
      </c>
      <c r="D16" s="1215">
        <v>1991</v>
      </c>
      <c r="E16" s="1215">
        <v>1992</v>
      </c>
      <c r="F16" s="1215">
        <v>1993</v>
      </c>
      <c r="G16" s="1215">
        <v>1994</v>
      </c>
      <c r="H16" s="1215">
        <v>1995</v>
      </c>
      <c r="I16" s="1215">
        <v>1996</v>
      </c>
      <c r="J16" s="1215">
        <v>1997</v>
      </c>
      <c r="K16" s="1215">
        <v>1998</v>
      </c>
      <c r="L16" s="1215">
        <v>1999</v>
      </c>
      <c r="M16" s="1215">
        <v>2000</v>
      </c>
      <c r="N16" s="1215">
        <v>2001</v>
      </c>
      <c r="O16" s="1215">
        <v>2002</v>
      </c>
      <c r="P16" s="1215">
        <v>2003</v>
      </c>
      <c r="Q16" s="1215">
        <v>2004</v>
      </c>
      <c r="R16" s="1215">
        <v>2005</v>
      </c>
      <c r="S16" s="1215">
        <v>2006</v>
      </c>
      <c r="T16" s="1215">
        <v>2007</v>
      </c>
      <c r="U16" s="1215">
        <v>2008</v>
      </c>
      <c r="V16" s="1215">
        <v>2009</v>
      </c>
      <c r="W16" s="1215">
        <v>2010</v>
      </c>
      <c r="X16" s="1215">
        <v>2011</v>
      </c>
      <c r="Y16" s="1215">
        <v>2012</v>
      </c>
      <c r="Z16" s="1216" t="s">
        <v>0</v>
      </c>
      <c r="AA16" s="1205"/>
      <c r="AB16" s="1206"/>
      <c r="AC16" s="1206"/>
      <c r="AD16" s="1206"/>
      <c r="AF16" s="1196">
        <f aca="true" t="shared" si="1" ref="AF16:BB16">C16</f>
        <v>1990</v>
      </c>
      <c r="AG16" s="1196">
        <f t="shared" si="1"/>
        <v>1991</v>
      </c>
      <c r="AH16" s="1196">
        <f t="shared" si="1"/>
        <v>1992</v>
      </c>
      <c r="AI16" s="1196">
        <f t="shared" si="1"/>
        <v>1993</v>
      </c>
      <c r="AJ16" s="1196">
        <f t="shared" si="1"/>
        <v>1994</v>
      </c>
      <c r="AK16" s="1196">
        <f t="shared" si="1"/>
        <v>1995</v>
      </c>
      <c r="AL16" s="1196">
        <f t="shared" si="1"/>
        <v>1996</v>
      </c>
      <c r="AM16" s="1196">
        <f t="shared" si="1"/>
        <v>1997</v>
      </c>
      <c r="AN16" s="1196">
        <f t="shared" si="1"/>
        <v>1998</v>
      </c>
      <c r="AO16" s="1196">
        <f t="shared" si="1"/>
        <v>1999</v>
      </c>
      <c r="AP16" s="1196">
        <f t="shared" si="1"/>
        <v>2000</v>
      </c>
      <c r="AQ16" s="1196">
        <f t="shared" si="1"/>
        <v>2001</v>
      </c>
      <c r="AR16" s="1196">
        <f t="shared" si="1"/>
        <v>2002</v>
      </c>
      <c r="AS16" s="1196">
        <f t="shared" si="1"/>
        <v>2003</v>
      </c>
      <c r="AT16" s="1196">
        <f t="shared" si="1"/>
        <v>2004</v>
      </c>
      <c r="AU16" s="1196">
        <f t="shared" si="1"/>
        <v>2005</v>
      </c>
      <c r="AV16" s="1196">
        <f t="shared" si="1"/>
        <v>2006</v>
      </c>
      <c r="AW16" s="1196">
        <f t="shared" si="1"/>
        <v>2007</v>
      </c>
      <c r="AX16" s="1196">
        <f t="shared" si="1"/>
        <v>2008</v>
      </c>
      <c r="AY16" s="1196">
        <f t="shared" si="1"/>
        <v>2009</v>
      </c>
      <c r="AZ16" s="1196">
        <f t="shared" si="1"/>
        <v>2010</v>
      </c>
      <c r="BA16" s="1196">
        <f t="shared" si="1"/>
        <v>2011</v>
      </c>
      <c r="BB16" s="1196">
        <f t="shared" si="1"/>
        <v>2012</v>
      </c>
    </row>
    <row r="17" spans="2:54" ht="12.75">
      <c r="B17" s="1217" t="s">
        <v>282</v>
      </c>
      <c r="C17" s="1241">
        <f>('10.17.2 y 3 I Publica y Gub.'!C17+'10.17.2 y 3 I Publica y Gub.'!C25+'10.17.2 y 3 I Publica y Gub.'!C42)/1000</f>
        <v>136.599</v>
      </c>
      <c r="D17" s="1241">
        <f>('10.17.2 y 3 I Publica y Gub.'!D17+'10.17.2 y 3 I Publica y Gub.'!D25+'10.17.2 y 3 I Publica y Gub.'!D42)/1000</f>
        <v>114.859</v>
      </c>
      <c r="E17" s="1241">
        <f>('10.17.2 y 3 I Publica y Gub.'!E17+'10.17.2 y 3 I Publica y Gub.'!E25+'10.17.2 y 3 I Publica y Gub.'!E42)/1000</f>
        <v>163.753</v>
      </c>
      <c r="F17" s="1241">
        <f>('10.17.2 y 3 I Publica y Gub.'!F17+'10.17.2 y 3 I Publica y Gub.'!F25+'10.17.2 y 3 I Publica y Gub.'!F42)/1000</f>
        <v>167.152</v>
      </c>
      <c r="G17" s="1241">
        <f>('10.17.2 y 3 I Publica y Gub.'!G17+'10.17.2 y 3 I Publica y Gub.'!G25+'10.17.2 y 3 I Publica y Gub.'!G42)/1000</f>
        <v>79.38970800000001</v>
      </c>
      <c r="H17" s="1241">
        <f>('10.17.2 y 3 I Publica y Gub.'!H17+'10.17.2 y 3 I Publica y Gub.'!H25+'10.17.2 y 3 I Publica y Gub.'!H42)/1000</f>
        <v>154.71299900000002</v>
      </c>
      <c r="I17" s="1241">
        <f>('10.17.2 y 3 I Publica y Gub.'!I17+'10.17.2 y 3 I Publica y Gub.'!I25+'10.17.2 y 3 I Publica y Gub.'!I42)/1000</f>
        <v>176.976207</v>
      </c>
      <c r="J17" s="1241">
        <f>('10.17.2 y 3 I Publica y Gub.'!J17+'10.17.2 y 3 I Publica y Gub.'!J25+'10.17.2 y 3 I Publica y Gub.'!J42)/1000</f>
        <v>207.88996600000002</v>
      </c>
      <c r="K17" s="1241">
        <f>('10.17.2 y 3 I Publica y Gub.'!K17+'10.17.2 y 3 I Publica y Gub.'!K25+'10.17.2 y 3 I Publica y Gub.'!K42)/1000</f>
        <v>202.791343</v>
      </c>
      <c r="L17" s="1241">
        <f>('10.17.2 y 3 I Publica y Gub.'!L17+'10.17.2 y 3 I Publica y Gub.'!L25+'10.17.2 y 3 I Publica y Gub.'!L42)/1000</f>
        <v>201.7245590118343</v>
      </c>
      <c r="M17" s="1241">
        <f>('10.17.2 y 3 I Publica y Gub.'!M17+'10.17.2 y 3 I Publica y Gub.'!M25+'10.17.2 y 3 I Publica y Gub.'!M42)/1000</f>
        <v>165.989</v>
      </c>
      <c r="N17" s="1241">
        <f>('10.17.2 y 3 I Publica y Gub.'!N17+'10.17.2 y 3 I Publica y Gub.'!N25+'10.17.2 y 3 I Publica y Gub.'!N42)/1000</f>
        <v>95.05868</v>
      </c>
      <c r="O17" s="1241">
        <f>('10.17.2 y 3 I Publica y Gub.'!O17+'10.17.2 y 3 I Publica y Gub.'!O25+'10.17.2 y 3 I Publica y Gub.'!O42)/1000</f>
        <v>109.855</v>
      </c>
      <c r="P17" s="1241">
        <f>('10.17.2 y 3 I Publica y Gub.'!P17+'10.17.2 y 3 I Publica y Gub.'!P25+'10.17.2 y 3 I Publica y Gub.'!P42)/1000</f>
        <v>110.83204</v>
      </c>
      <c r="Q17" s="1241">
        <f>('10.17.2 y 3 I Publica y Gub.'!Q17+'10.17.2 y 3 I Publica y Gub.'!Q25+'10.17.2 y 3 I Publica y Gub.'!Q42)/1000</f>
        <v>116.11542999999999</v>
      </c>
      <c r="R17" s="1241">
        <f>('10.17.2 y 3 I Publica y Gub.'!R17+'10.17.2 y 3 I Publica y Gub.'!R25+'10.17.2 y 3 I Publica y Gub.'!R42)/1000</f>
        <v>117.40603</v>
      </c>
      <c r="S17" s="1241">
        <f>('10.17.2 y 3 I Publica y Gub.'!S17+'10.17.2 y 3 I Publica y Gub.'!S25+'10.17.2 y 3 I Publica y Gub.'!S42)/1000</f>
        <v>95.7415</v>
      </c>
      <c r="T17" s="1241">
        <f>('10.17.2 y 3 I Publica y Gub.'!T17+'10.17.2 y 3 I Publica y Gub.'!T25+'10.17.2 y 3 I Publica y Gub.'!T42)/1000</f>
        <v>139.71519999999998</v>
      </c>
      <c r="U17" s="1241">
        <f>('10.17.2 y 3 I Publica y Gub.'!U17+'10.17.2 y 3 I Publica y Gub.'!U25+'10.17.2 y 3 I Publica y Gub.'!U42)/1000</f>
        <v>128.882</v>
      </c>
      <c r="V17" s="1241">
        <f>('10.17.2 y 3 I Publica y Gub.'!V17+'10.17.2 y 3 I Publica y Gub.'!V25+'10.17.2 y 3 I Publica y Gub.'!V42)/1000</f>
        <v>249.981</v>
      </c>
      <c r="W17" s="1241">
        <f>('10.17.2 y 3 I Publica y Gub.'!W17+'10.17.2 y 3 I Publica y Gub.'!W25+'10.17.2 y 3 I Publica y Gub.'!W42)/1000</f>
        <v>165.611</v>
      </c>
      <c r="X17" s="1241">
        <f>('10.17.2 y 3 I Publica y Gub.'!X17+'10.17.2 y 3 I Publica y Gub.'!X25+'10.17.2 y 3 I Publica y Gub.'!X42)/1000</f>
        <v>106.9737</v>
      </c>
      <c r="Y17" s="1241">
        <f>('10.17.2 y 3 I Publica y Gub.'!Y17+'10.17.2 y 3 I Publica y Gub.'!Y25+'10.17.2 y 3 I Publica y Gub.'!Y42)/1000</f>
        <v>121.623</v>
      </c>
      <c r="Z17" s="1218">
        <f>SUM(C17:Y17)</f>
        <v>3329.6313620118344</v>
      </c>
      <c r="AB17" s="1219">
        <f>+Z17/AB20</f>
        <v>0.22452369876779432</v>
      </c>
      <c r="AC17" s="1220"/>
      <c r="AD17" s="1220"/>
      <c r="AF17" s="1221">
        <f>'10.17.2 y 3 I Publica y Gub.'!C51</f>
        <v>136599</v>
      </c>
      <c r="AG17" s="1221">
        <f>'10.17.2 y 3 I Publica y Gub.'!D51</f>
        <v>114859</v>
      </c>
      <c r="AH17" s="1221">
        <f>'10.17.2 y 3 I Publica y Gub.'!E51</f>
        <v>163753</v>
      </c>
      <c r="AI17" s="1221">
        <f>'10.17.2 y 3 I Publica y Gub.'!F51</f>
        <v>174408</v>
      </c>
      <c r="AJ17" s="1221">
        <f>'10.17.2 y 3 I Publica y Gub.'!G51</f>
        <v>153798.708</v>
      </c>
      <c r="AK17" s="1221">
        <f>'10.17.2 y 3 I Publica y Gub.'!H51</f>
        <v>229000.999</v>
      </c>
      <c r="AL17" s="1221">
        <f>'10.17.2 y 3 I Publica y Gub.'!I51</f>
        <v>312926.207</v>
      </c>
      <c r="AM17" s="1221">
        <f>'10.17.2 y 3 I Publica y Gub.'!J51</f>
        <v>254447.96600000001</v>
      </c>
      <c r="AN17" s="1221">
        <f>'10.17.2 y 3 I Publica y Gub.'!K51</f>
        <v>254279.34300000002</v>
      </c>
      <c r="AO17" s="1221">
        <f>'10.17.2 y 3 I Publica y Gub.'!L51</f>
        <v>256364.5590118343</v>
      </c>
      <c r="AP17" s="1221">
        <f>'10.17.2 y 3 I Publica y Gub.'!M51</f>
        <v>219400</v>
      </c>
      <c r="AQ17" s="1221">
        <f>'10.17.2 y 3 I Publica y Gub.'!N51</f>
        <v>140225.68</v>
      </c>
      <c r="AR17" s="1221">
        <f>'10.17.2 y 3 I Publica y Gub.'!O51</f>
        <v>127185</v>
      </c>
      <c r="AS17" s="1221">
        <f>'10.17.2 y 3 I Publica y Gub.'!P51</f>
        <v>154259.75400000002</v>
      </c>
      <c r="AT17" s="1221">
        <f>'10.17.2 y 3 I Publica y Gub.'!Q51</f>
        <v>155193.43</v>
      </c>
      <c r="AU17" s="1221">
        <f>'10.17.2 y 3 I Publica y Gub.'!R51</f>
        <v>162650.03</v>
      </c>
      <c r="AV17" s="1221">
        <f>'10.17.2 y 3 I Publica y Gub.'!S51</f>
        <v>129694.5</v>
      </c>
      <c r="AW17" s="1221">
        <f>'10.17.2 y 3 I Publica y Gub.'!T51</f>
        <v>229642.19999999998</v>
      </c>
      <c r="AX17" s="1221">
        <f>'10.17.2 y 3 I Publica y Gub.'!U51</f>
        <v>228369</v>
      </c>
      <c r="AY17" s="1221">
        <f>'10.17.2 y 3 I Publica y Gub.'!V51</f>
        <v>434703</v>
      </c>
      <c r="AZ17" s="1221">
        <f>'10.17.2 y 3 I Publica y Gub.'!W51</f>
        <v>388987</v>
      </c>
      <c r="BA17" s="1221">
        <f>'10.17.2 y 3 I Publica y Gub.'!X51</f>
        <v>238248.7</v>
      </c>
      <c r="BB17" s="1221">
        <f>'10.17.2 y 3 I Publica y Gub.'!Y51</f>
        <v>271504.209301822</v>
      </c>
    </row>
    <row r="18" spans="2:54" ht="12.75">
      <c r="B18" s="1217" t="s">
        <v>276</v>
      </c>
      <c r="C18" s="1241"/>
      <c r="D18" s="1241"/>
      <c r="E18" s="1241"/>
      <c r="F18" s="1241"/>
      <c r="G18" s="1241">
        <f>AJ18/$AF$14</f>
        <v>60.35389</v>
      </c>
      <c r="H18" s="1241">
        <f aca="true" t="shared" si="2" ref="H18:Y18">AK18/$AF$14</f>
        <v>66.15163000000001</v>
      </c>
      <c r="I18" s="1241">
        <f t="shared" si="2"/>
        <v>195.77716999999998</v>
      </c>
      <c r="J18" s="1241">
        <f t="shared" si="2"/>
        <v>339.06891500000006</v>
      </c>
      <c r="K18" s="1241">
        <f t="shared" si="2"/>
        <v>358.24208799999997</v>
      </c>
      <c r="L18" s="1241">
        <f t="shared" si="2"/>
        <v>507.36566899999997</v>
      </c>
      <c r="M18" s="1241">
        <f t="shared" si="2"/>
        <v>433.589</v>
      </c>
      <c r="N18" s="1241">
        <f t="shared" si="2"/>
        <v>196.17129</v>
      </c>
      <c r="O18" s="1241">
        <f t="shared" si="2"/>
        <v>120.021</v>
      </c>
      <c r="P18" s="1241">
        <f t="shared" si="2"/>
        <v>72.15211000000001</v>
      </c>
      <c r="Q18" s="1241">
        <f t="shared" si="2"/>
        <v>165.06376</v>
      </c>
      <c r="R18" s="1241">
        <f t="shared" si="2"/>
        <v>229.88297999999998</v>
      </c>
      <c r="S18" s="1241">
        <f t="shared" si="2"/>
        <v>340.19845000000004</v>
      </c>
      <c r="T18" s="1241">
        <f t="shared" si="2"/>
        <v>388.50857</v>
      </c>
      <c r="U18" s="1241">
        <f t="shared" si="2"/>
        <v>619.206</v>
      </c>
      <c r="V18" s="1241">
        <f t="shared" si="2"/>
        <v>719.579</v>
      </c>
      <c r="W18" s="1241">
        <f t="shared" si="2"/>
        <v>978.752</v>
      </c>
      <c r="X18" s="1241">
        <f t="shared" si="2"/>
        <v>1641.7509652</v>
      </c>
      <c r="Y18" s="1241">
        <f t="shared" si="2"/>
        <v>2467.4208604500004</v>
      </c>
      <c r="Z18" s="1218">
        <f>SUM(C18:Y18)</f>
        <v>9899.25534765</v>
      </c>
      <c r="AB18" s="1219">
        <f>+Z18/AB20</f>
        <v>0.6675265769836732</v>
      </c>
      <c r="AC18" s="1220"/>
      <c r="AD18" s="1220"/>
      <c r="AF18" s="1221">
        <f>'10.17.1 Inversion Privada'!C102</f>
        <v>0</v>
      </c>
      <c r="AG18" s="1221">
        <f>'10.17.1 Inversion Privada'!D102</f>
        <v>0</v>
      </c>
      <c r="AH18" s="1221">
        <f>'10.17.1 Inversion Privada'!E102</f>
        <v>0</v>
      </c>
      <c r="AI18" s="1221">
        <f>'10.17.1 Inversion Privada'!F102</f>
        <v>0</v>
      </c>
      <c r="AJ18" s="1221">
        <f>'10.17.1 Inversion Privada'!G102</f>
        <v>60353.89</v>
      </c>
      <c r="AK18" s="1221">
        <f>'10.17.1 Inversion Privada'!H102</f>
        <v>66151.63</v>
      </c>
      <c r="AL18" s="1221">
        <f>'10.17.1 Inversion Privada'!I102</f>
        <v>195777.16999999998</v>
      </c>
      <c r="AM18" s="1221">
        <f>'10.17.1 Inversion Privada'!J102</f>
        <v>339068.91500000004</v>
      </c>
      <c r="AN18" s="1221">
        <f>'10.17.1 Inversion Privada'!K102</f>
        <v>358242.088</v>
      </c>
      <c r="AO18" s="1221">
        <f>'10.17.1 Inversion Privada'!L102</f>
        <v>507365.669</v>
      </c>
      <c r="AP18" s="1221">
        <f>'10.17.1 Inversion Privada'!M102</f>
        <v>433589</v>
      </c>
      <c r="AQ18" s="1221">
        <f>'10.17.1 Inversion Privada'!N102</f>
        <v>196171.29</v>
      </c>
      <c r="AR18" s="1221">
        <f>'10.17.1 Inversion Privada'!O102</f>
        <v>120021</v>
      </c>
      <c r="AS18" s="1221">
        <f>'10.17.1 Inversion Privada'!P102</f>
        <v>72152.11</v>
      </c>
      <c r="AT18" s="1221">
        <f>'10.17.1 Inversion Privada'!Q102</f>
        <v>165063.76</v>
      </c>
      <c r="AU18" s="1221">
        <f>'10.17.1 Inversion Privada'!R102</f>
        <v>229882.97999999998</v>
      </c>
      <c r="AV18" s="1221">
        <f>'10.17.1 Inversion Privada'!S102</f>
        <v>340198.45</v>
      </c>
      <c r="AW18" s="1221">
        <f>'10.17.1 Inversion Privada'!T102</f>
        <v>388508.57</v>
      </c>
      <c r="AX18" s="1221">
        <f>'10.17.1 Inversion Privada'!U102</f>
        <v>619206</v>
      </c>
      <c r="AY18" s="1221">
        <f>'10.17.1 Inversion Privada'!V102</f>
        <v>719579</v>
      </c>
      <c r="AZ18" s="1221">
        <f>'10.17.1 Inversion Privada'!W102</f>
        <v>978752</v>
      </c>
      <c r="BA18" s="1221">
        <f>'10.17.1 Inversion Privada'!X102</f>
        <v>1641750.9652000002</v>
      </c>
      <c r="BB18" s="1221">
        <f>'10.17.1 Inversion Privada'!Y102</f>
        <v>2467420.8604500005</v>
      </c>
    </row>
    <row r="19" spans="2:49" ht="12.75">
      <c r="B19" s="1217" t="s">
        <v>283</v>
      </c>
      <c r="C19" s="1241">
        <f>'10.17.2 y 3 I Publica y Gub.'!C48/1000</f>
        <v>0</v>
      </c>
      <c r="D19" s="1241">
        <f>'10.17.2 y 3 I Publica y Gub.'!D48/1000</f>
        <v>0</v>
      </c>
      <c r="E19" s="1241">
        <f>'10.17.2 y 3 I Publica y Gub.'!E48/1000</f>
        <v>0</v>
      </c>
      <c r="F19" s="1241">
        <f>'10.17.2 y 3 I Publica y Gub.'!F48/1000</f>
        <v>7.256</v>
      </c>
      <c r="G19" s="1241">
        <f>'10.17.2 y 3 I Publica y Gub.'!G48/1000</f>
        <v>74.409</v>
      </c>
      <c r="H19" s="1241">
        <f>'10.17.2 y 3 I Publica y Gub.'!H48/1000</f>
        <v>74.288</v>
      </c>
      <c r="I19" s="1241">
        <f>'10.17.2 y 3 I Publica y Gub.'!I48/1000</f>
        <v>135.95</v>
      </c>
      <c r="J19" s="1241">
        <f>'10.17.2 y 3 I Publica y Gub.'!J48/1000</f>
        <v>46.558</v>
      </c>
      <c r="K19" s="1241">
        <f>'10.17.2 y 3 I Publica y Gub.'!K48/1000</f>
        <v>51.488</v>
      </c>
      <c r="L19" s="1241">
        <f>'10.17.2 y 3 I Publica y Gub.'!L48/1000</f>
        <v>54.64</v>
      </c>
      <c r="M19" s="1241">
        <f>'10.17.2 y 3 I Publica y Gub.'!M48/1000</f>
        <v>53.411</v>
      </c>
      <c r="N19" s="1241">
        <f>'10.17.2 y 3 I Publica y Gub.'!N48/1000</f>
        <v>45.167</v>
      </c>
      <c r="O19" s="1241">
        <f>'10.17.2 y 3 I Publica y Gub.'!O48/1000</f>
        <v>17.33</v>
      </c>
      <c r="P19" s="1241">
        <f>'10.17.2 y 3 I Publica y Gub.'!P48/1000</f>
        <v>43.427714</v>
      </c>
      <c r="Q19" s="1241">
        <f>'10.17.2 y 3 I Publica y Gub.'!Q48/1000</f>
        <v>39.078</v>
      </c>
      <c r="R19" s="1241">
        <f>'10.17.2 y 3 I Publica y Gub.'!R48/1000</f>
        <v>45.244</v>
      </c>
      <c r="S19" s="1241">
        <f>'10.17.2 y 3 I Publica y Gub.'!S48/1000</f>
        <v>33.953</v>
      </c>
      <c r="T19" s="1241">
        <f>'10.17.2 y 3 I Publica y Gub.'!T48/1000</f>
        <v>89.927</v>
      </c>
      <c r="U19" s="1241">
        <f>'10.17.2 y 3 I Publica y Gub.'!U48/1000</f>
        <v>99.487</v>
      </c>
      <c r="V19" s="1241">
        <f>'10.17.2 y 3 I Publica y Gub.'!V48/1000</f>
        <v>184.722</v>
      </c>
      <c r="W19" s="1241">
        <f>'10.17.2 y 3 I Publica y Gub.'!W48/1000</f>
        <v>223.376</v>
      </c>
      <c r="X19" s="1241">
        <f>'10.17.2 y 3 I Publica y Gub.'!X48/1000</f>
        <v>131.275</v>
      </c>
      <c r="Y19" s="1241">
        <f>'10.17.2 y 3 I Publica y Gub.'!Y48/1000</f>
        <v>149.881209301822</v>
      </c>
      <c r="Z19" s="1218">
        <f>SUM(C19:Y19)</f>
        <v>1600.8679233018222</v>
      </c>
      <c r="AB19" s="1219">
        <f>+Z19/AB20</f>
        <v>0.10794972424853237</v>
      </c>
      <c r="AC19" s="1220"/>
      <c r="AD19" s="1220"/>
      <c r="AF19" s="1221"/>
      <c r="AG19" s="1221"/>
      <c r="AH19" s="1221"/>
      <c r="AI19" s="1221"/>
      <c r="AJ19" s="1221"/>
      <c r="AK19" s="1221"/>
      <c r="AL19" s="1221"/>
      <c r="AM19" s="1221"/>
      <c r="AN19" s="1221"/>
      <c r="AO19" s="1221"/>
      <c r="AP19" s="1221"/>
      <c r="AQ19" s="1221"/>
      <c r="AR19" s="1221"/>
      <c r="AS19" s="1221"/>
      <c r="AT19" s="1221"/>
      <c r="AU19" s="1221"/>
      <c r="AV19" s="1221"/>
      <c r="AW19" s="1221"/>
    </row>
    <row r="20" spans="2:34" ht="12.75">
      <c r="B20" s="1222"/>
      <c r="C20" s="1223"/>
      <c r="D20" s="1223"/>
      <c r="E20" s="1223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4">
        <f>SUM(C20:V20)</f>
        <v>0</v>
      </c>
      <c r="AA20" s="1225"/>
      <c r="AB20" s="1226">
        <f>+SUM(Z17:Z19)</f>
        <v>14829.754632963657</v>
      </c>
      <c r="AC20" s="1220"/>
      <c r="AD20" s="1220"/>
      <c r="AF20" s="1214"/>
      <c r="AG20" s="1214"/>
      <c r="AH20" s="1214"/>
    </row>
    <row r="21" spans="2:34" ht="12.75">
      <c r="B21" s="1192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8"/>
      <c r="AA21" s="1225"/>
      <c r="AB21" s="1220"/>
      <c r="AC21" s="1220"/>
      <c r="AD21" s="1220"/>
      <c r="AF21" s="1214"/>
      <c r="AG21" s="1214"/>
      <c r="AH21" s="1214"/>
    </row>
    <row r="22" spans="2:34" ht="12.75">
      <c r="B22" s="1192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8"/>
      <c r="AA22" s="1225"/>
      <c r="AB22" s="1220"/>
      <c r="AC22" s="1220"/>
      <c r="AD22" s="1220"/>
      <c r="AF22" s="1214"/>
      <c r="AG22" s="1214"/>
      <c r="AH22" s="1214"/>
    </row>
    <row r="23" spans="2:34" ht="12.75">
      <c r="B23" s="1192"/>
      <c r="C23" s="1061"/>
      <c r="D23" s="1061"/>
      <c r="E23" s="1061"/>
      <c r="F23" s="1061"/>
      <c r="G23" s="1061"/>
      <c r="H23" s="1061"/>
      <c r="I23" s="1061"/>
      <c r="J23" s="1061"/>
      <c r="K23" s="1061"/>
      <c r="L23" s="1061"/>
      <c r="M23" s="1061"/>
      <c r="N23" s="1061"/>
      <c r="O23" s="1061"/>
      <c r="P23" s="1061"/>
      <c r="Q23" s="1061"/>
      <c r="R23" s="1061"/>
      <c r="S23" s="1061"/>
      <c r="T23" s="1061"/>
      <c r="U23" s="1061"/>
      <c r="V23" s="1061"/>
      <c r="W23" s="1061"/>
      <c r="X23" s="1061"/>
      <c r="Y23" s="1061"/>
      <c r="Z23" s="1061"/>
      <c r="AA23" s="1045"/>
      <c r="AC23" s="1229"/>
      <c r="AD23" s="1229"/>
      <c r="AF23" s="1214"/>
      <c r="AG23" s="1214"/>
      <c r="AH23" s="1214"/>
    </row>
    <row r="24" ht="12.75"/>
    <row r="25" spans="2:30" ht="15">
      <c r="B25" s="1230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1"/>
      <c r="AB25" s="1232"/>
      <c r="AC25" s="1232"/>
      <c r="AD25" s="1232"/>
    </row>
    <row r="26" spans="2:54" ht="15.75">
      <c r="B26" s="1233"/>
      <c r="C26" s="1233"/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4"/>
      <c r="AC26" s="1234"/>
      <c r="AD26" s="1234"/>
      <c r="AF26" s="1196">
        <v>1990</v>
      </c>
      <c r="AG26" s="1196">
        <v>1991</v>
      </c>
      <c r="AH26" s="1196">
        <v>1992</v>
      </c>
      <c r="AI26" s="1196">
        <v>1993</v>
      </c>
      <c r="AJ26" s="1196">
        <v>1994</v>
      </c>
      <c r="AK26" s="1196">
        <v>1995</v>
      </c>
      <c r="AL26" s="1196">
        <v>1996</v>
      </c>
      <c r="AM26" s="1196">
        <v>1997</v>
      </c>
      <c r="AN26" s="1196">
        <v>1998</v>
      </c>
      <c r="AO26" s="1196">
        <v>1999</v>
      </c>
      <c r="AP26" s="1196">
        <v>2000</v>
      </c>
      <c r="AQ26" s="1196">
        <v>2001</v>
      </c>
      <c r="AR26" s="1196">
        <v>2002</v>
      </c>
      <c r="AS26" s="1196">
        <v>2003</v>
      </c>
      <c r="AT26" s="1196">
        <v>2004</v>
      </c>
      <c r="AU26" s="1196">
        <v>2005</v>
      </c>
      <c r="AV26" s="1196">
        <v>2006</v>
      </c>
      <c r="AW26" s="1196">
        <v>2007</v>
      </c>
      <c r="AX26" s="1196">
        <v>2008</v>
      </c>
      <c r="AY26" s="1196">
        <v>2009</v>
      </c>
      <c r="AZ26" s="1196">
        <v>2010</v>
      </c>
      <c r="BA26" s="1196">
        <v>2011</v>
      </c>
      <c r="BB26" s="1242">
        <v>2012</v>
      </c>
    </row>
    <row r="27" spans="2:54" ht="12.75">
      <c r="B27" s="1235"/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05"/>
      <c r="AA27" s="1205"/>
      <c r="AB27" s="1206"/>
      <c r="AC27" s="1206"/>
      <c r="AD27" s="1206"/>
      <c r="AE27" s="1195" t="s">
        <v>0</v>
      </c>
      <c r="AF27" s="1236">
        <f>SUM(AF28:AF29)</f>
        <v>6.943</v>
      </c>
      <c r="AG27" s="1236">
        <f aca="true" t="shared" si="3" ref="AG27:BB27">SUM(AG28:AG29)</f>
        <v>23.607</v>
      </c>
      <c r="AH27" s="1236">
        <f t="shared" si="3"/>
        <v>74.238</v>
      </c>
      <c r="AI27" s="1236">
        <f t="shared" si="3"/>
        <v>85.55</v>
      </c>
      <c r="AJ27" s="1236">
        <f t="shared" si="3"/>
        <v>73.40098</v>
      </c>
      <c r="AK27" s="1236">
        <f t="shared" si="3"/>
        <v>163.39924000000002</v>
      </c>
      <c r="AL27" s="1236">
        <f t="shared" si="3"/>
        <v>193.27748</v>
      </c>
      <c r="AM27" s="1236">
        <f t="shared" si="3"/>
        <v>171.46096999999997</v>
      </c>
      <c r="AN27" s="1236">
        <f t="shared" si="3"/>
        <v>136.50491999999997</v>
      </c>
      <c r="AO27" s="1236">
        <f t="shared" si="3"/>
        <v>121.50028001183432</v>
      </c>
      <c r="AP27" s="1236">
        <f t="shared" si="3"/>
        <v>139.201</v>
      </c>
      <c r="AQ27" s="1236">
        <f t="shared" si="3"/>
        <v>134.38179</v>
      </c>
      <c r="AR27" s="1236">
        <f t="shared" si="3"/>
        <v>96.701</v>
      </c>
      <c r="AS27" s="1236">
        <f t="shared" si="3"/>
        <v>91.96504</v>
      </c>
      <c r="AT27" s="1236">
        <f t="shared" si="3"/>
        <v>100.73510999999999</v>
      </c>
      <c r="AU27" s="1236">
        <f t="shared" si="3"/>
        <v>134.3424</v>
      </c>
      <c r="AV27" s="1236">
        <f t="shared" si="3"/>
        <v>140.08258</v>
      </c>
      <c r="AW27" s="1236">
        <f t="shared" si="3"/>
        <v>151.39657</v>
      </c>
      <c r="AX27" s="1236">
        <f t="shared" si="3"/>
        <v>235.905</v>
      </c>
      <c r="AY27" s="1236">
        <f t="shared" si="3"/>
        <v>289.065</v>
      </c>
      <c r="AZ27" s="1236">
        <f t="shared" si="3"/>
        <v>253.17200000000003</v>
      </c>
      <c r="BA27" s="1236">
        <f t="shared" si="3"/>
        <v>229.3906</v>
      </c>
      <c r="BB27" s="1236">
        <f t="shared" si="3"/>
        <v>337.36420000000004</v>
      </c>
    </row>
    <row r="28" spans="2:54" ht="12.75">
      <c r="B28" s="1046"/>
      <c r="C28" s="1046"/>
      <c r="D28" s="1046"/>
      <c r="E28" s="1046"/>
      <c r="F28" s="1046"/>
      <c r="G28" s="1046"/>
      <c r="H28" s="1046"/>
      <c r="I28" s="1046"/>
      <c r="J28" s="1046"/>
      <c r="K28" s="1046"/>
      <c r="L28" s="1046"/>
      <c r="M28" s="1046"/>
      <c r="N28" s="1046"/>
      <c r="O28" s="1046"/>
      <c r="P28" s="1046"/>
      <c r="Q28" s="1046"/>
      <c r="R28" s="1046"/>
      <c r="S28" s="1046"/>
      <c r="T28" s="1046"/>
      <c r="U28" s="1046"/>
      <c r="V28" s="1046"/>
      <c r="W28" s="1046"/>
      <c r="X28" s="1046"/>
      <c r="Y28" s="1046"/>
      <c r="Z28" s="1046"/>
      <c r="AA28" s="1046"/>
      <c r="AB28" s="1237"/>
      <c r="AC28" s="1237"/>
      <c r="AD28" s="1237"/>
      <c r="AE28" s="1195" t="s">
        <v>276</v>
      </c>
      <c r="AF28" s="1243">
        <f>'10.17.1 Inversion Privada'!C100/1000</f>
        <v>0</v>
      </c>
      <c r="AG28" s="1243">
        <f>'10.17.1 Inversion Privada'!D100/1000</f>
        <v>0</v>
      </c>
      <c r="AH28" s="1243">
        <f>'10.17.1 Inversion Privada'!E100/1000</f>
        <v>0</v>
      </c>
      <c r="AI28" s="1243">
        <f>'10.17.1 Inversion Privada'!F100/1000</f>
        <v>0</v>
      </c>
      <c r="AJ28" s="1243">
        <f>'10.17.1 Inversion Privada'!G100/1000</f>
        <v>28.875</v>
      </c>
      <c r="AK28" s="1243">
        <f>'10.17.1 Inversion Privada'!H100/1000</f>
        <v>58.517</v>
      </c>
      <c r="AL28" s="1243">
        <f>'10.17.1 Inversion Privada'!I100/1000</f>
        <v>98.16971</v>
      </c>
      <c r="AM28" s="1243">
        <f>'10.17.1 Inversion Privada'!J100/1000</f>
        <v>99.52896</v>
      </c>
      <c r="AN28" s="1243">
        <f>'10.17.1 Inversion Privada'!K100/1000</f>
        <v>94.40795999999999</v>
      </c>
      <c r="AO28" s="1243">
        <f>'10.17.1 Inversion Privada'!L100/1000</f>
        <v>87.42553</v>
      </c>
      <c r="AP28" s="1243">
        <f>'10.17.1 Inversion Privada'!M100/1000</f>
        <v>123.118</v>
      </c>
      <c r="AQ28" s="1243">
        <f>'10.17.1 Inversion Privada'!N100/1000</f>
        <v>118.71619</v>
      </c>
      <c r="AR28" s="1243">
        <f>'10.17.1 Inversion Privada'!O100/1000</f>
        <v>65.021</v>
      </c>
      <c r="AS28" s="1243">
        <f>'10.17.1 Inversion Privada'!P100/1000</f>
        <v>48.2385</v>
      </c>
      <c r="AT28" s="1243">
        <f>'10.17.1 Inversion Privada'!Q100/1000</f>
        <v>51.6209</v>
      </c>
      <c r="AU28" s="1243">
        <f>'10.17.1 Inversion Privada'!R100/1000</f>
        <v>70.70308</v>
      </c>
      <c r="AV28" s="1243">
        <f>'10.17.1 Inversion Privada'!S100/1000</f>
        <v>73.539</v>
      </c>
      <c r="AW28" s="1243">
        <f>'10.17.1 Inversion Privada'!T100/1000</f>
        <v>85.18066999999999</v>
      </c>
      <c r="AX28" s="1243">
        <f>'10.17.1 Inversion Privada'!U100/1000</f>
        <v>133.536</v>
      </c>
      <c r="AY28" s="1243">
        <f>'10.17.1 Inversion Privada'!V100/1000</f>
        <v>127.933</v>
      </c>
      <c r="AZ28" s="1243">
        <f>'10.17.1 Inversion Privada'!W100/1000</f>
        <v>112.675</v>
      </c>
      <c r="BA28" s="1243">
        <f>'10.17.1 Inversion Privada'!X100/1000</f>
        <v>151.0126</v>
      </c>
      <c r="BB28" s="1243">
        <f>'10.17.1 Inversion Privada'!Y100/1000</f>
        <v>251.02120000000002</v>
      </c>
    </row>
    <row r="29" spans="2:54" ht="12.75">
      <c r="B29" s="878"/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  <c r="Y29" s="878"/>
      <c r="Z29" s="878"/>
      <c r="AE29" s="1195" t="s">
        <v>277</v>
      </c>
      <c r="AF29" s="1244">
        <f>'10.17.2 y 3 I Publica y Gub.'!C42/1000</f>
        <v>6.943</v>
      </c>
      <c r="AG29" s="1244">
        <f>'10.17.2 y 3 I Publica y Gub.'!D42/1000</f>
        <v>23.607</v>
      </c>
      <c r="AH29" s="1244">
        <f>'10.17.2 y 3 I Publica y Gub.'!E42/1000</f>
        <v>74.238</v>
      </c>
      <c r="AI29" s="1244">
        <f>'10.17.2 y 3 I Publica y Gub.'!F42/1000</f>
        <v>85.55</v>
      </c>
      <c r="AJ29" s="1244">
        <f>'10.17.2 y 3 I Publica y Gub.'!G42/1000</f>
        <v>44.525980000000004</v>
      </c>
      <c r="AK29" s="1244">
        <f>'10.17.2 y 3 I Publica y Gub.'!H42/1000</f>
        <v>104.88224000000001</v>
      </c>
      <c r="AL29" s="1244">
        <f>'10.17.2 y 3 I Publica y Gub.'!I42/1000</f>
        <v>95.10777</v>
      </c>
      <c r="AM29" s="1244">
        <f>'10.17.2 y 3 I Publica y Gub.'!J42/1000</f>
        <v>71.93200999999999</v>
      </c>
      <c r="AN29" s="1244">
        <f>'10.17.2 y 3 I Publica y Gub.'!K42/1000</f>
        <v>42.09695999999999</v>
      </c>
      <c r="AO29" s="1244">
        <f>'10.17.2 y 3 I Publica y Gub.'!L42/1000</f>
        <v>34.07475001183432</v>
      </c>
      <c r="AP29" s="1244">
        <f>'10.17.2 y 3 I Publica y Gub.'!M42/1000</f>
        <v>16.083</v>
      </c>
      <c r="AQ29" s="1244">
        <f>'10.17.2 y 3 I Publica y Gub.'!N42/1000</f>
        <v>15.665599999999998</v>
      </c>
      <c r="AR29" s="1244">
        <f>'10.17.2 y 3 I Publica y Gub.'!O42/1000</f>
        <v>31.68</v>
      </c>
      <c r="AS29" s="1244">
        <f>'10.17.2 y 3 I Publica y Gub.'!P42/1000</f>
        <v>43.72654</v>
      </c>
      <c r="AT29" s="1244">
        <f>'10.17.2 y 3 I Publica y Gub.'!Q42/1000</f>
        <v>49.11421</v>
      </c>
      <c r="AU29" s="1244">
        <f>'10.17.2 y 3 I Publica y Gub.'!R42/1000</f>
        <v>63.63932</v>
      </c>
      <c r="AV29" s="1244">
        <f>'10.17.2 y 3 I Publica y Gub.'!S42/1000</f>
        <v>66.54358</v>
      </c>
      <c r="AW29" s="1244">
        <f>'10.17.2 y 3 I Publica y Gub.'!T42/1000</f>
        <v>66.21589999999999</v>
      </c>
      <c r="AX29" s="1244">
        <f>'10.17.2 y 3 I Publica y Gub.'!U42/1000</f>
        <v>102.369</v>
      </c>
      <c r="AY29" s="1244">
        <f>'10.17.2 y 3 I Publica y Gub.'!V42/1000</f>
        <v>161.132</v>
      </c>
      <c r="AZ29" s="1244">
        <f>'10.17.2 y 3 I Publica y Gub.'!W42/1000</f>
        <v>140.497</v>
      </c>
      <c r="BA29" s="1244">
        <f>'10.17.2 y 3 I Publica y Gub.'!X42/1000</f>
        <v>78.378</v>
      </c>
      <c r="BB29" s="1244">
        <f>'10.17.2 y 3 I Publica y Gub.'!Y42/1000</f>
        <v>86.343</v>
      </c>
    </row>
    <row r="32" spans="32:54" ht="12.75">
      <c r="AF32" s="1196">
        <v>1990</v>
      </c>
      <c r="AG32" s="1196">
        <v>1991</v>
      </c>
      <c r="AH32" s="1196">
        <v>1992</v>
      </c>
      <c r="AI32" s="1196">
        <v>1993</v>
      </c>
      <c r="AJ32" s="1196">
        <v>1994</v>
      </c>
      <c r="AK32" s="1196">
        <v>1995</v>
      </c>
      <c r="AL32" s="1196">
        <v>1996</v>
      </c>
      <c r="AM32" s="1196">
        <v>1997</v>
      </c>
      <c r="AN32" s="1196">
        <v>1998</v>
      </c>
      <c r="AO32" s="1196">
        <v>1999</v>
      </c>
      <c r="AP32" s="1196">
        <v>2000</v>
      </c>
      <c r="AQ32" s="1196">
        <v>2001</v>
      </c>
      <c r="AR32" s="1196">
        <v>2002</v>
      </c>
      <c r="AS32" s="1196">
        <v>2003</v>
      </c>
      <c r="AT32" s="1196">
        <v>2004</v>
      </c>
      <c r="AU32" s="1196">
        <v>2005</v>
      </c>
      <c r="AV32" s="1196">
        <v>2006</v>
      </c>
      <c r="AW32" s="1196">
        <v>2007</v>
      </c>
      <c r="AX32" s="1196">
        <v>2008</v>
      </c>
      <c r="AY32" s="1196">
        <v>2009</v>
      </c>
      <c r="AZ32" s="1196">
        <v>2010</v>
      </c>
      <c r="BA32" s="1196">
        <v>2011</v>
      </c>
      <c r="BB32" s="1242">
        <v>2012</v>
      </c>
    </row>
    <row r="33" spans="31:54" ht="12.75">
      <c r="AE33" s="1195" t="s">
        <v>0</v>
      </c>
      <c r="AF33" s="1236">
        <f>SUM(AF34:AF35)</f>
        <v>86.948</v>
      </c>
      <c r="AG33" s="1236">
        <f aca="true" t="shared" si="4" ref="AG33:BB33">SUM(AG34:AG35)</f>
        <v>63.737</v>
      </c>
      <c r="AH33" s="1236">
        <f t="shared" si="4"/>
        <v>18.344</v>
      </c>
      <c r="AI33" s="1236">
        <f t="shared" si="4"/>
        <v>13.229</v>
      </c>
      <c r="AJ33" s="1236">
        <f t="shared" si="4"/>
        <v>0.336</v>
      </c>
      <c r="AK33" s="1236">
        <f t="shared" si="4"/>
        <v>11.41265</v>
      </c>
      <c r="AL33" s="1236">
        <f t="shared" si="4"/>
        <v>16.601</v>
      </c>
      <c r="AM33" s="1236">
        <f t="shared" si="4"/>
        <v>32.72078</v>
      </c>
      <c r="AN33" s="1236">
        <f t="shared" si="4"/>
        <v>59.64327</v>
      </c>
      <c r="AO33" s="1236">
        <f t="shared" si="4"/>
        <v>170.80662</v>
      </c>
      <c r="AP33" s="1236">
        <f t="shared" si="4"/>
        <v>128.939</v>
      </c>
      <c r="AQ33" s="1236">
        <f t="shared" si="4"/>
        <v>61.743</v>
      </c>
      <c r="AR33" s="1236">
        <f t="shared" si="4"/>
        <v>37.657000000000004</v>
      </c>
      <c r="AS33" s="1236">
        <f t="shared" si="4"/>
        <v>12.825610000000001</v>
      </c>
      <c r="AT33" s="1236">
        <f t="shared" si="4"/>
        <v>24.36586</v>
      </c>
      <c r="AU33" s="1236">
        <f t="shared" si="4"/>
        <v>20.6339</v>
      </c>
      <c r="AV33" s="1236">
        <f t="shared" si="4"/>
        <v>16.54345</v>
      </c>
      <c r="AW33" s="1236">
        <f t="shared" si="4"/>
        <v>69.63589999999999</v>
      </c>
      <c r="AX33" s="1236">
        <f t="shared" si="4"/>
        <v>43.106</v>
      </c>
      <c r="AY33" s="1236">
        <f t="shared" si="4"/>
        <v>254.363</v>
      </c>
      <c r="AZ33" s="1236">
        <f t="shared" si="4"/>
        <v>332.557</v>
      </c>
      <c r="BA33" s="1236">
        <f t="shared" si="4"/>
        <v>278.546</v>
      </c>
      <c r="BB33" s="1236">
        <f t="shared" si="4"/>
        <v>470.27</v>
      </c>
    </row>
    <row r="34" spans="31:54" ht="12.75">
      <c r="AE34" s="1195" t="s">
        <v>276</v>
      </c>
      <c r="AF34" s="1200">
        <f>'10.17.1 Inversion Privada'!C83/1000</f>
        <v>0</v>
      </c>
      <c r="AG34" s="1200">
        <f>'10.17.1 Inversion Privada'!D83/1000</f>
        <v>0</v>
      </c>
      <c r="AH34" s="1200">
        <f>'10.17.1 Inversion Privada'!E83/1000</f>
        <v>0</v>
      </c>
      <c r="AI34" s="1200">
        <f>'10.17.1 Inversion Privada'!F83/1000</f>
        <v>0</v>
      </c>
      <c r="AJ34" s="1200">
        <f>'10.17.1 Inversion Privada'!G83/1000</f>
        <v>0</v>
      </c>
      <c r="AK34" s="1200">
        <f>'10.17.1 Inversion Privada'!H83/1000</f>
        <v>0</v>
      </c>
      <c r="AL34" s="1200">
        <f>'10.17.1 Inversion Privada'!I83/1000</f>
        <v>0</v>
      </c>
      <c r="AM34" s="1200">
        <f>'10.17.1 Inversion Privada'!J83/1000</f>
        <v>0</v>
      </c>
      <c r="AN34" s="1200">
        <f>'10.17.1 Inversion Privada'!K83/1000</f>
        <v>13.488</v>
      </c>
      <c r="AO34" s="1200">
        <f>'10.17.1 Inversion Privada'!L83/1000</f>
        <v>139.48872</v>
      </c>
      <c r="AP34" s="1200">
        <f>'10.17.1 Inversion Privada'!M83/1000</f>
        <v>102.249</v>
      </c>
      <c r="AQ34" s="1200">
        <f>'10.17.1 Inversion Privada'!N83/1000</f>
        <v>58.627</v>
      </c>
      <c r="AR34" s="1200">
        <f>'10.17.1 Inversion Privada'!O83/1000</f>
        <v>37.28</v>
      </c>
      <c r="AS34" s="1200">
        <f>'10.17.1 Inversion Privada'!P83/1000</f>
        <v>12.825610000000001</v>
      </c>
      <c r="AT34" s="1200">
        <f>'10.17.1 Inversion Privada'!Q83/1000</f>
        <v>24.36586</v>
      </c>
      <c r="AU34" s="1200">
        <f>'10.17.1 Inversion Privada'!R83/1000</f>
        <v>20.6339</v>
      </c>
      <c r="AV34" s="1200">
        <f>'10.17.1 Inversion Privada'!S83/1000</f>
        <v>16.54345</v>
      </c>
      <c r="AW34" s="1200">
        <f>'10.17.1 Inversion Privada'!T83/1000</f>
        <v>69.63589999999999</v>
      </c>
      <c r="AX34" s="1200">
        <f>'10.17.1 Inversion Privada'!U83/1000</f>
        <v>43.106</v>
      </c>
      <c r="AY34" s="1200">
        <f>'10.17.1 Inversion Privada'!V83/1000</f>
        <v>254.363</v>
      </c>
      <c r="AZ34" s="1200">
        <f>'10.17.1 Inversion Privada'!W83/1000</f>
        <v>332.557</v>
      </c>
      <c r="BA34" s="1200">
        <f>'10.17.1 Inversion Privada'!X83/1000</f>
        <v>278.546</v>
      </c>
      <c r="BB34" s="1200">
        <f>'10.17.1 Inversion Privada'!Y83/1000</f>
        <v>470.27</v>
      </c>
    </row>
    <row r="35" spans="31:54" ht="12.75">
      <c r="AE35" s="1195" t="s">
        <v>277</v>
      </c>
      <c r="AF35" s="1207">
        <f>'10.17.2 y 3 I Publica y Gub.'!C25/1000</f>
        <v>86.948</v>
      </c>
      <c r="AG35" s="1207">
        <f>'10.17.2 y 3 I Publica y Gub.'!D25/1000</f>
        <v>63.737</v>
      </c>
      <c r="AH35" s="1207">
        <f>'10.17.2 y 3 I Publica y Gub.'!E25/1000</f>
        <v>18.344</v>
      </c>
      <c r="AI35" s="1207">
        <f>'10.17.2 y 3 I Publica y Gub.'!F25/1000</f>
        <v>13.229</v>
      </c>
      <c r="AJ35" s="1207">
        <f>'10.17.2 y 3 I Publica y Gub.'!G25/1000</f>
        <v>0.336</v>
      </c>
      <c r="AK35" s="1207">
        <f>'10.17.2 y 3 I Publica y Gub.'!H25/1000</f>
        <v>11.41265</v>
      </c>
      <c r="AL35" s="1207">
        <f>'10.17.2 y 3 I Publica y Gub.'!I25/1000</f>
        <v>16.601</v>
      </c>
      <c r="AM35" s="1207">
        <f>'10.17.2 y 3 I Publica y Gub.'!J25/1000</f>
        <v>32.72078</v>
      </c>
      <c r="AN35" s="1207">
        <f>'10.17.2 y 3 I Publica y Gub.'!K25/1000</f>
        <v>46.15527</v>
      </c>
      <c r="AO35" s="1207">
        <f>'10.17.2 y 3 I Publica y Gub.'!L25/1000</f>
        <v>31.3179</v>
      </c>
      <c r="AP35" s="1207">
        <f>'10.17.2 y 3 I Publica y Gub.'!M25/1000</f>
        <v>26.69</v>
      </c>
      <c r="AQ35" s="1207">
        <f>'10.17.2 y 3 I Publica y Gub.'!N25/1000</f>
        <v>3.116</v>
      </c>
      <c r="AR35" s="1207">
        <f>'10.17.2 y 3 I Publica y Gub.'!O25/1000</f>
        <v>0.377</v>
      </c>
      <c r="AS35" s="1207">
        <f>'10.17.2 y 3 I Publica y Gub.'!P25/1000</f>
        <v>0</v>
      </c>
      <c r="AT35" s="1207">
        <f>'10.17.2 y 3 I Publica y Gub.'!Q25/1000</f>
        <v>0</v>
      </c>
      <c r="AU35" s="1207">
        <f>'10.17.2 y 3 I Publica y Gub.'!R25/1000</f>
        <v>0</v>
      </c>
      <c r="AV35" s="1207">
        <f>'10.17.2 y 3 I Publica y Gub.'!S25/1000</f>
        <v>0</v>
      </c>
      <c r="AW35" s="1207">
        <f>'10.17.2 y 3 I Publica y Gub.'!T25/1000</f>
        <v>0</v>
      </c>
      <c r="AX35" s="1207">
        <f>'10.17.2 y 3 I Publica y Gub.'!U25/1000</f>
        <v>0</v>
      </c>
      <c r="AY35" s="1207">
        <f>'10.17.2 y 3 I Publica y Gub.'!V25/1000</f>
        <v>0</v>
      </c>
      <c r="AZ35" s="1207">
        <f>'10.17.2 y 3 I Publica y Gub.'!W25/1000</f>
        <v>0</v>
      </c>
      <c r="BA35" s="1207">
        <f>'10.17.2 y 3 I Publica y Gub.'!X25/1000</f>
        <v>0</v>
      </c>
      <c r="BB35" s="1207">
        <f>'10.17.2 y 3 I Publica y Gub.'!Y25/1000</f>
        <v>0</v>
      </c>
    </row>
  </sheetData>
  <sheetProtection/>
  <mergeCells count="4">
    <mergeCell ref="B6:Z6"/>
    <mergeCell ref="B9:B10"/>
    <mergeCell ref="AI11:AJ11"/>
    <mergeCell ref="B25:Z25"/>
  </mergeCells>
  <printOptions horizontalCentered="1"/>
  <pageMargins left="0.7874015748031497" right="0.3937007874015748" top="0.9055118110236221" bottom="0.7086614173228347" header="0" footer="0"/>
  <pageSetup fitToHeight="3" fitToWidth="1" horizontalDpi="600" verticalDpi="600" orientation="landscape" paperSize="9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B95"/>
  <sheetViews>
    <sheetView zoomScalePageLayoutView="0" workbookViewId="0" topLeftCell="A1">
      <selection activeCell="AN101" sqref="AN101"/>
    </sheetView>
  </sheetViews>
  <sheetFormatPr defaultColWidth="11.421875" defaultRowHeight="12.75"/>
  <cols>
    <col min="12" max="36" width="0" style="0" hidden="1" customWidth="1"/>
  </cols>
  <sheetData>
    <row r="1" spans="1:54" ht="12.75">
      <c r="A1" s="835"/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835"/>
      <c r="AW1" s="835"/>
      <c r="AX1" s="835"/>
      <c r="AY1" s="835"/>
      <c r="AZ1" s="835"/>
      <c r="BA1" s="835"/>
      <c r="BB1" s="835"/>
    </row>
    <row r="2" spans="1:54" ht="12.75">
      <c r="A2" s="835"/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  <c r="AG2" s="835"/>
      <c r="AH2" s="835"/>
      <c r="AI2" s="835"/>
      <c r="AJ2" s="835"/>
      <c r="AK2" s="835"/>
      <c r="AL2" s="835"/>
      <c r="AM2" s="835"/>
      <c r="AN2" s="835"/>
      <c r="AO2" s="835"/>
      <c r="AP2" s="835"/>
      <c r="AQ2" s="835"/>
      <c r="AR2" s="835"/>
      <c r="AS2" s="835"/>
      <c r="AT2" s="835"/>
      <c r="AU2" s="835"/>
      <c r="AV2" s="835"/>
      <c r="AW2" s="835"/>
      <c r="AX2" s="835"/>
      <c r="AY2" s="835"/>
      <c r="AZ2" s="835"/>
      <c r="BA2" s="835"/>
      <c r="BB2" s="835"/>
    </row>
    <row r="3" spans="1:54" ht="12.75">
      <c r="A3" s="835"/>
      <c r="B3" s="835"/>
      <c r="C3" s="836"/>
      <c r="D3" s="836"/>
      <c r="E3" s="836"/>
      <c r="F3" s="836"/>
      <c r="G3" s="836"/>
      <c r="H3" s="836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</row>
    <row r="4" spans="1:54" ht="18">
      <c r="A4" s="835"/>
      <c r="B4" s="837" t="s">
        <v>127</v>
      </c>
      <c r="C4" s="838"/>
      <c r="D4" s="838"/>
      <c r="E4" s="838"/>
      <c r="F4" s="838"/>
      <c r="G4" s="838"/>
      <c r="H4" s="838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9" t="s">
        <v>128</v>
      </c>
      <c r="AM4" s="835"/>
      <c r="AN4" s="835"/>
      <c r="AO4" s="835"/>
      <c r="AP4" s="835"/>
      <c r="AQ4" s="835"/>
      <c r="AR4" s="835"/>
      <c r="AS4" s="835"/>
      <c r="AT4" s="835"/>
      <c r="AU4" s="835"/>
      <c r="AV4" s="835"/>
      <c r="AW4" s="835"/>
      <c r="AX4" s="835"/>
      <c r="AY4" s="835"/>
      <c r="AZ4" s="835"/>
      <c r="BA4" s="835"/>
      <c r="BB4" s="835"/>
    </row>
    <row r="5" spans="1:54" ht="12.75">
      <c r="A5" s="835"/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40" t="s">
        <v>129</v>
      </c>
      <c r="N5" s="835"/>
      <c r="O5" s="835"/>
      <c r="P5" s="835"/>
      <c r="Q5" s="840" t="s">
        <v>130</v>
      </c>
      <c r="R5" s="835"/>
      <c r="S5" s="835"/>
      <c r="T5" s="835"/>
      <c r="U5" s="835"/>
      <c r="V5" s="840" t="s">
        <v>131</v>
      </c>
      <c r="W5" s="835"/>
      <c r="X5" s="835"/>
      <c r="Y5" s="835"/>
      <c r="Z5" s="835"/>
      <c r="AA5" s="835"/>
      <c r="AB5" s="835"/>
      <c r="AC5" s="835"/>
      <c r="AD5" s="835"/>
      <c r="AE5" s="835"/>
      <c r="AF5" s="835"/>
      <c r="AG5" s="835"/>
      <c r="AH5" s="835"/>
      <c r="AI5" s="835"/>
      <c r="AJ5" s="835"/>
      <c r="AK5" s="835"/>
      <c r="AL5" s="835"/>
      <c r="AM5" s="835"/>
      <c r="AN5" s="835"/>
      <c r="AO5" s="835"/>
      <c r="AP5" s="835"/>
      <c r="AQ5" s="835"/>
      <c r="AR5" s="835"/>
      <c r="AS5" s="835"/>
      <c r="AT5" s="835"/>
      <c r="AU5" s="835"/>
      <c r="AV5" s="835"/>
      <c r="AW5" s="835"/>
      <c r="AX5" s="835"/>
      <c r="AY5" s="835"/>
      <c r="AZ5" s="835"/>
      <c r="BA5" s="835"/>
      <c r="BB5" s="835"/>
    </row>
    <row r="6" spans="1:54" ht="12.75">
      <c r="A6" s="835"/>
      <c r="B6" s="835"/>
      <c r="C6" s="1010" t="s">
        <v>132</v>
      </c>
      <c r="D6" s="841"/>
      <c r="E6" s="841" t="s">
        <v>133</v>
      </c>
      <c r="F6" s="1010" t="s">
        <v>134</v>
      </c>
      <c r="G6" s="841" t="s">
        <v>133</v>
      </c>
      <c r="H6" s="842"/>
      <c r="I6" s="841" t="s">
        <v>135</v>
      </c>
      <c r="J6" s="841" t="s">
        <v>133</v>
      </c>
      <c r="K6" s="843"/>
      <c r="L6" s="843"/>
      <c r="M6" s="843" t="s">
        <v>136</v>
      </c>
      <c r="N6" s="843" t="s">
        <v>137</v>
      </c>
      <c r="O6" s="838" t="s">
        <v>138</v>
      </c>
      <c r="P6" s="835"/>
      <c r="Q6" s="840" t="s">
        <v>139</v>
      </c>
      <c r="R6" s="840" t="s">
        <v>140</v>
      </c>
      <c r="S6" s="840" t="s">
        <v>141</v>
      </c>
      <c r="T6" s="840" t="s">
        <v>137</v>
      </c>
      <c r="U6" s="835"/>
      <c r="V6" s="843" t="s">
        <v>142</v>
      </c>
      <c r="W6" s="843" t="s">
        <v>143</v>
      </c>
      <c r="X6" s="838" t="s">
        <v>144</v>
      </c>
      <c r="Y6" s="835"/>
      <c r="Z6" s="835"/>
      <c r="AA6" s="835"/>
      <c r="AB6" s="835"/>
      <c r="AC6" s="835"/>
      <c r="AD6" s="835"/>
      <c r="AE6" s="835"/>
      <c r="AF6" s="835"/>
      <c r="AG6" s="835"/>
      <c r="AH6" s="835"/>
      <c r="AI6" s="835"/>
      <c r="AJ6" s="835"/>
      <c r="AK6" s="835"/>
      <c r="AL6" s="835"/>
      <c r="AM6" s="835"/>
      <c r="AN6" s="835"/>
      <c r="AO6" s="835"/>
      <c r="AP6" s="835"/>
      <c r="AQ6" s="835"/>
      <c r="AR6" s="835"/>
      <c r="AS6" s="835"/>
      <c r="AT6" s="835"/>
      <c r="AU6" s="835"/>
      <c r="AV6" s="835"/>
      <c r="AW6" s="835"/>
      <c r="AX6" s="835"/>
      <c r="AY6" s="835"/>
      <c r="AZ6" s="835"/>
      <c r="BA6" s="835"/>
      <c r="BB6" s="835"/>
    </row>
    <row r="7" spans="1:54" ht="12.75">
      <c r="A7" s="835"/>
      <c r="B7" s="835"/>
      <c r="C7" s="1011"/>
      <c r="D7" s="844"/>
      <c r="E7" s="844" t="s">
        <v>145</v>
      </c>
      <c r="F7" s="1011"/>
      <c r="G7" s="844" t="s">
        <v>146</v>
      </c>
      <c r="H7" s="845"/>
      <c r="I7" s="844" t="s">
        <v>147</v>
      </c>
      <c r="J7" s="844" t="s">
        <v>147</v>
      </c>
      <c r="K7" s="843"/>
      <c r="L7" s="843"/>
      <c r="M7" s="843" t="s">
        <v>148</v>
      </c>
      <c r="N7" s="843" t="s">
        <v>148</v>
      </c>
      <c r="O7" s="843" t="s">
        <v>148</v>
      </c>
      <c r="P7" s="835"/>
      <c r="Q7" s="840" t="s">
        <v>149</v>
      </c>
      <c r="R7" s="840" t="s">
        <v>149</v>
      </c>
      <c r="S7" s="840" t="s">
        <v>149</v>
      </c>
      <c r="T7" s="840" t="s">
        <v>149</v>
      </c>
      <c r="U7" s="835"/>
      <c r="V7" s="843" t="s">
        <v>149</v>
      </c>
      <c r="W7" s="843" t="s">
        <v>149</v>
      </c>
      <c r="X7" s="843" t="s">
        <v>149</v>
      </c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5"/>
      <c r="AK7" s="835"/>
      <c r="AL7" s="835"/>
      <c r="AM7" s="835"/>
      <c r="AN7" s="835"/>
      <c r="AO7" s="835"/>
      <c r="AP7" s="835"/>
      <c r="AQ7" s="835"/>
      <c r="AR7" s="835"/>
      <c r="AS7" s="835"/>
      <c r="AT7" s="835"/>
      <c r="AU7" s="835"/>
      <c r="AV7" s="835"/>
      <c r="AW7" s="835"/>
      <c r="AX7" s="835"/>
      <c r="AY7" s="835"/>
      <c r="AZ7" s="835"/>
      <c r="BA7" s="835"/>
      <c r="BB7" s="835"/>
    </row>
    <row r="8" spans="1:54" ht="12.75">
      <c r="A8" s="835"/>
      <c r="B8" s="1008">
        <v>2006</v>
      </c>
      <c r="C8" s="846" t="s">
        <v>150</v>
      </c>
      <c r="D8" s="846">
        <v>38718</v>
      </c>
      <c r="E8" s="847">
        <v>0.09745721069298835</v>
      </c>
      <c r="F8" s="848">
        <v>3.314</v>
      </c>
      <c r="G8" s="847">
        <v>0.02940772803047325</v>
      </c>
      <c r="H8" s="849"/>
      <c r="I8" s="850">
        <v>30.901376053108024</v>
      </c>
      <c r="J8" s="851">
        <v>29.40772803047325</v>
      </c>
      <c r="K8" s="852"/>
      <c r="L8" s="852"/>
      <c r="M8" s="853">
        <v>0.13410859</v>
      </c>
      <c r="N8" s="853">
        <v>0.09600591000000001</v>
      </c>
      <c r="O8" s="854">
        <v>0.10240716024</v>
      </c>
      <c r="P8" s="855"/>
      <c r="Q8" s="855">
        <v>38.69765365890804</v>
      </c>
      <c r="R8" s="855">
        <v>34.704840853677865</v>
      </c>
      <c r="S8" s="855">
        <v>16.498884912225765</v>
      </c>
      <c r="T8" s="855">
        <v>27.141338972923897</v>
      </c>
      <c r="U8" s="835"/>
      <c r="V8" s="856">
        <v>40.467287266143636</v>
      </c>
      <c r="W8" s="856">
        <v>28.969797827398917</v>
      </c>
      <c r="X8" s="856">
        <v>30.901376053108027</v>
      </c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835"/>
      <c r="AN8" s="1012" t="s">
        <v>151</v>
      </c>
      <c r="AO8" s="857" t="s">
        <v>152</v>
      </c>
      <c r="AP8" s="857" t="s">
        <v>153</v>
      </c>
      <c r="AQ8" s="1014" t="s">
        <v>154</v>
      </c>
      <c r="AR8" s="1015"/>
      <c r="AS8" s="835"/>
      <c r="AT8" s="835"/>
      <c r="AU8" s="835"/>
      <c r="AV8" s="835"/>
      <c r="AW8" s="835"/>
      <c r="AX8" s="835"/>
      <c r="AY8" s="835"/>
      <c r="AZ8" s="835"/>
      <c r="BA8" s="835"/>
      <c r="BB8" s="835"/>
    </row>
    <row r="9" spans="1:54" ht="12.75">
      <c r="A9" s="835"/>
      <c r="B9" s="1008"/>
      <c r="C9" s="846" t="s">
        <v>155</v>
      </c>
      <c r="D9" s="846"/>
      <c r="E9" s="847">
        <v>0.12639009529168416</v>
      </c>
      <c r="F9" s="848">
        <v>3.293</v>
      </c>
      <c r="G9" s="847">
        <v>0.038381444060638974</v>
      </c>
      <c r="H9" s="849"/>
      <c r="I9" s="850">
        <v>30.788158530649426</v>
      </c>
      <c r="J9" s="851">
        <v>38.38144406063898</v>
      </c>
      <c r="K9" s="852"/>
      <c r="L9" s="852"/>
      <c r="M9" s="853">
        <v>0.13222592035714287</v>
      </c>
      <c r="N9" s="853">
        <v>0.09466134749999999</v>
      </c>
      <c r="O9" s="854">
        <v>0.10138540604142857</v>
      </c>
      <c r="P9" s="855"/>
      <c r="Q9" s="855">
        <v>59.326060931089884</v>
      </c>
      <c r="R9" s="855">
        <v>47.61646065896959</v>
      </c>
      <c r="S9" s="855">
        <v>12.995887652430088</v>
      </c>
      <c r="T9" s="855">
        <v>33.20853667686014</v>
      </c>
      <c r="U9" s="835"/>
      <c r="V9" s="856">
        <v>40.153635091753074</v>
      </c>
      <c r="W9" s="856">
        <v>28.74623367749772</v>
      </c>
      <c r="X9" s="856">
        <v>30.788158530649426</v>
      </c>
      <c r="Y9" s="835"/>
      <c r="Z9" s="835"/>
      <c r="AA9" s="835"/>
      <c r="AB9" s="835">
        <v>2006</v>
      </c>
      <c r="AC9" s="835">
        <v>29.66864490930484</v>
      </c>
      <c r="AD9" s="835">
        <v>68.10256518918492</v>
      </c>
      <c r="AE9" s="835"/>
      <c r="AF9" s="835"/>
      <c r="AG9" s="835"/>
      <c r="AH9" s="835"/>
      <c r="AI9" s="835"/>
      <c r="AJ9" s="835"/>
      <c r="AK9" s="835"/>
      <c r="AL9" s="835"/>
      <c r="AM9" s="835"/>
      <c r="AN9" s="1013"/>
      <c r="AO9" s="858" t="s">
        <v>156</v>
      </c>
      <c r="AP9" s="858" t="s">
        <v>156</v>
      </c>
      <c r="AQ9" s="859" t="s">
        <v>157</v>
      </c>
      <c r="AR9" s="860" t="s">
        <v>158</v>
      </c>
      <c r="AS9" s="835"/>
      <c r="AT9" s="835"/>
      <c r="AU9" s="835"/>
      <c r="AV9" s="835"/>
      <c r="AW9" s="835"/>
      <c r="AX9" s="835"/>
      <c r="AY9" s="835"/>
      <c r="AZ9" s="835"/>
      <c r="BA9" s="835"/>
      <c r="BB9" s="835"/>
    </row>
    <row r="10" spans="1:54" ht="12.75">
      <c r="A10" s="835"/>
      <c r="B10" s="1008"/>
      <c r="C10" s="846" t="s">
        <v>159</v>
      </c>
      <c r="D10" s="846">
        <v>38777</v>
      </c>
      <c r="E10" s="847">
        <v>0.08080583027717839</v>
      </c>
      <c r="F10" s="848">
        <v>3.358</v>
      </c>
      <c r="G10" s="847">
        <v>0.024063677866938173</v>
      </c>
      <c r="H10" s="849"/>
      <c r="I10" s="850">
        <v>30.163043478260867</v>
      </c>
      <c r="J10" s="851">
        <v>24.06367786693817</v>
      </c>
      <c r="K10" s="852"/>
      <c r="L10" s="852"/>
      <c r="M10" s="853">
        <v>0.132</v>
      </c>
      <c r="N10" s="853">
        <v>0.0945</v>
      </c>
      <c r="O10" s="854">
        <v>0.10128749999999999</v>
      </c>
      <c r="P10" s="855"/>
      <c r="Q10" s="855">
        <v>38.753500734145526</v>
      </c>
      <c r="R10" s="855">
        <v>30.524414414716762</v>
      </c>
      <c r="S10" s="855">
        <v>6.143078524799099</v>
      </c>
      <c r="T10" s="855">
        <v>20.34271089040926</v>
      </c>
      <c r="U10" s="835"/>
      <c r="V10" s="856">
        <v>39.30911256700417</v>
      </c>
      <c r="W10" s="856">
        <v>28.141751042287076</v>
      </c>
      <c r="X10" s="856">
        <v>30.163043478260864</v>
      </c>
      <c r="Y10" s="835"/>
      <c r="Z10" s="835"/>
      <c r="AA10" s="835"/>
      <c r="AB10" s="835">
        <v>2007</v>
      </c>
      <c r="AC10" s="835">
        <v>29.720650467870687</v>
      </c>
      <c r="AD10" s="835">
        <v>38.34210568955644</v>
      </c>
      <c r="AE10" s="861">
        <f aca="true" t="shared" si="0" ref="AE10:AF15">+AC10/AC9-1</f>
        <v>0.0017528794700540917</v>
      </c>
      <c r="AF10" s="861">
        <f t="shared" si="0"/>
        <v>-0.43699469200544316</v>
      </c>
      <c r="AG10" s="835"/>
      <c r="AH10" s="835"/>
      <c r="AI10" s="835"/>
      <c r="AJ10" s="835"/>
      <c r="AK10" s="835"/>
      <c r="AL10" s="835"/>
      <c r="AM10" s="835"/>
      <c r="AN10" s="862" t="s">
        <v>160</v>
      </c>
      <c r="AO10" s="863">
        <v>44.13983291329466</v>
      </c>
      <c r="AP10" s="863">
        <v>30.36143812479146</v>
      </c>
      <c r="AQ10" s="864"/>
      <c r="AR10" s="865"/>
      <c r="AS10" s="835"/>
      <c r="AT10" s="835"/>
      <c r="AU10" s="835"/>
      <c r="AV10" s="835"/>
      <c r="AW10" s="835"/>
      <c r="AX10" s="835"/>
      <c r="AY10" s="835"/>
      <c r="AZ10" s="835"/>
      <c r="BA10" s="835"/>
      <c r="BB10" s="835"/>
    </row>
    <row r="11" spans="1:54" ht="12.75">
      <c r="A11" s="835"/>
      <c r="B11" s="1008"/>
      <c r="C11" s="846" t="s">
        <v>161</v>
      </c>
      <c r="D11" s="846"/>
      <c r="E11" s="847">
        <v>0.12807494669647956</v>
      </c>
      <c r="F11" s="848">
        <v>3.312</v>
      </c>
      <c r="G11" s="847">
        <v>0.03866997182864721</v>
      </c>
      <c r="H11" s="849"/>
      <c r="I11" s="850">
        <v>30.344202898550723</v>
      </c>
      <c r="J11" s="851">
        <v>38.66997182864721</v>
      </c>
      <c r="K11" s="852"/>
      <c r="L11" s="852"/>
      <c r="M11" s="853">
        <v>0.132</v>
      </c>
      <c r="N11" s="853">
        <v>0.0945</v>
      </c>
      <c r="O11" s="854">
        <v>0.10049999999999999</v>
      </c>
      <c r="P11" s="855"/>
      <c r="Q11" s="855">
        <v>75.80590088581906</v>
      </c>
      <c r="R11" s="855">
        <v>44.33604756592756</v>
      </c>
      <c r="S11" s="855">
        <v>10.37900007399412</v>
      </c>
      <c r="T11" s="855">
        <v>30.423545217470256</v>
      </c>
      <c r="U11" s="835"/>
      <c r="V11" s="856">
        <v>39.85507246376812</v>
      </c>
      <c r="W11" s="856">
        <v>28.532608695652176</v>
      </c>
      <c r="X11" s="856">
        <v>30.344202898550723</v>
      </c>
      <c r="Y11" s="835"/>
      <c r="Z11" s="835"/>
      <c r="AA11" s="835"/>
      <c r="AB11" s="835">
        <v>2008</v>
      </c>
      <c r="AC11" s="835">
        <v>32.42206367506416</v>
      </c>
      <c r="AD11" s="835">
        <v>91.87231338017166</v>
      </c>
      <c r="AE11" s="861">
        <f t="shared" si="0"/>
        <v>0.09089347523244196</v>
      </c>
      <c r="AF11" s="861">
        <f t="shared" si="0"/>
        <v>1.3961207066724999</v>
      </c>
      <c r="AG11" s="835"/>
      <c r="AH11" s="835"/>
      <c r="AI11" s="835"/>
      <c r="AJ11" s="835"/>
      <c r="AK11" s="835"/>
      <c r="AL11" s="835"/>
      <c r="AM11" s="835"/>
      <c r="AN11" s="862" t="s">
        <v>162</v>
      </c>
      <c r="AO11" s="863">
        <v>13.750358573352774</v>
      </c>
      <c r="AP11" s="863">
        <v>41.883638294912814</v>
      </c>
      <c r="AQ11" s="866">
        <f>AO11/AO10-1</f>
        <v>-0.6884818617151756</v>
      </c>
      <c r="AR11" s="866">
        <f>AP11/AP10-1</f>
        <v>0.3795011330742257</v>
      </c>
      <c r="AS11" s="835"/>
      <c r="AT11" s="835"/>
      <c r="AU11" s="835"/>
      <c r="AV11" s="835"/>
      <c r="AW11" s="835"/>
      <c r="AX11" s="835"/>
      <c r="AY11" s="835"/>
      <c r="AZ11" s="835"/>
      <c r="BA11" s="835"/>
      <c r="BB11" s="835"/>
    </row>
    <row r="12" spans="1:54" ht="12.75">
      <c r="A12" s="835"/>
      <c r="B12" s="1008"/>
      <c r="C12" s="846" t="s">
        <v>163</v>
      </c>
      <c r="D12" s="846">
        <v>38838</v>
      </c>
      <c r="E12" s="847">
        <v>0.3657487828198081</v>
      </c>
      <c r="F12" s="848">
        <v>3.2933</v>
      </c>
      <c r="G12" s="847">
        <v>0.11105844679191332</v>
      </c>
      <c r="H12" s="849"/>
      <c r="I12" s="850">
        <v>29.25181428961832</v>
      </c>
      <c r="J12" s="851">
        <v>111.05844679191331</v>
      </c>
      <c r="K12" s="852"/>
      <c r="L12" s="852"/>
      <c r="M12" s="853">
        <v>0.11960000000000001</v>
      </c>
      <c r="N12" s="853">
        <v>0.09140000000000001</v>
      </c>
      <c r="O12" s="854">
        <v>0.096335</v>
      </c>
      <c r="P12" s="855"/>
      <c r="Q12" s="855">
        <v>131.02692118349276</v>
      </c>
      <c r="R12" s="855">
        <v>116.25349177027636</v>
      </c>
      <c r="S12" s="855">
        <v>91.90686008032755</v>
      </c>
      <c r="T12" s="855">
        <v>106.14083428030759</v>
      </c>
      <c r="U12" s="835"/>
      <c r="V12" s="856">
        <v>36.316157046123955</v>
      </c>
      <c r="W12" s="856">
        <v>27.75331734126864</v>
      </c>
      <c r="X12" s="856">
        <v>29.251814289618316</v>
      </c>
      <c r="Y12" s="835"/>
      <c r="Z12" s="835"/>
      <c r="AA12" s="835"/>
      <c r="AB12" s="835">
        <v>2009</v>
      </c>
      <c r="AC12" s="835">
        <v>32.40683539383786</v>
      </c>
      <c r="AD12" s="835">
        <v>32.20189757496102</v>
      </c>
      <c r="AE12" s="861">
        <f t="shared" si="0"/>
        <v>-0.00046968883223841296</v>
      </c>
      <c r="AF12" s="861">
        <f t="shared" si="0"/>
        <v>-0.6494929060759779</v>
      </c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R12" s="835"/>
      <c r="AS12" s="835"/>
      <c r="AT12" s="835"/>
      <c r="AU12" s="835"/>
      <c r="AV12" s="835"/>
      <c r="AW12" s="835"/>
      <c r="AX12" s="835"/>
      <c r="AY12" s="835"/>
      <c r="AZ12" s="835"/>
      <c r="BA12" s="835"/>
      <c r="BB12" s="835"/>
    </row>
    <row r="13" spans="1:54" ht="12.75">
      <c r="A13" s="835"/>
      <c r="B13" s="1008"/>
      <c r="C13" s="846" t="s">
        <v>164</v>
      </c>
      <c r="D13" s="846"/>
      <c r="E13" s="847">
        <v>0.286640143090037</v>
      </c>
      <c r="F13" s="848">
        <v>3.26</v>
      </c>
      <c r="G13" s="847">
        <v>0.08792642426074755</v>
      </c>
      <c r="H13" s="849"/>
      <c r="I13" s="850">
        <v>29.54196319018405</v>
      </c>
      <c r="J13" s="851">
        <v>87.92642426074755</v>
      </c>
      <c r="K13" s="852"/>
      <c r="L13" s="852"/>
      <c r="M13" s="853">
        <v>0.11960000000000001</v>
      </c>
      <c r="N13" s="853">
        <v>0.09140000000000001</v>
      </c>
      <c r="O13" s="854">
        <v>0.0963068</v>
      </c>
      <c r="P13" s="855"/>
      <c r="Q13" s="855">
        <v>102.55878276092687</v>
      </c>
      <c r="R13" s="855">
        <v>91.96587719375808</v>
      </c>
      <c r="S13" s="855">
        <v>73.6465905117936</v>
      </c>
      <c r="T13" s="855">
        <v>84.37314308214613</v>
      </c>
      <c r="U13" s="835"/>
      <c r="V13" s="856">
        <v>36.68711656441719</v>
      </c>
      <c r="W13" s="856">
        <v>28.036809815950924</v>
      </c>
      <c r="X13" s="856">
        <v>29.54196319018405</v>
      </c>
      <c r="Y13" s="835"/>
      <c r="Z13" s="835"/>
      <c r="AA13" s="835"/>
      <c r="AB13" s="835">
        <v>2010</v>
      </c>
      <c r="AC13" s="835">
        <v>30.011656494435186</v>
      </c>
      <c r="AD13" s="835">
        <v>21.464197878491575</v>
      </c>
      <c r="AE13" s="861">
        <f t="shared" si="0"/>
        <v>-0.07390968202523451</v>
      </c>
      <c r="AF13" s="861">
        <f t="shared" si="0"/>
        <v>-0.33344928420673814</v>
      </c>
      <c r="AG13" s="835"/>
      <c r="AH13" s="835"/>
      <c r="AI13" s="835"/>
      <c r="AJ13" s="835"/>
      <c r="AK13" s="835"/>
      <c r="AL13" s="835"/>
      <c r="AM13" s="835"/>
      <c r="AN13" s="835"/>
      <c r="AO13" s="835"/>
      <c r="AP13" s="835"/>
      <c r="AQ13" s="835"/>
      <c r="AR13" s="835"/>
      <c r="AS13" s="835"/>
      <c r="AT13" s="835"/>
      <c r="AU13" s="835"/>
      <c r="AV13" s="835"/>
      <c r="AW13" s="835"/>
      <c r="AX13" s="835"/>
      <c r="AY13" s="835"/>
      <c r="AZ13" s="835"/>
      <c r="BA13" s="835"/>
      <c r="BB13" s="835"/>
    </row>
    <row r="14" spans="1:54" ht="12.75">
      <c r="A14" s="835"/>
      <c r="B14" s="1008"/>
      <c r="C14" s="846" t="s">
        <v>165</v>
      </c>
      <c r="D14" s="846">
        <v>38899</v>
      </c>
      <c r="E14" s="847">
        <v>0.29388779349929317</v>
      </c>
      <c r="F14" s="848">
        <v>3.242</v>
      </c>
      <c r="G14" s="847">
        <v>0.0906501522206333</v>
      </c>
      <c r="H14" s="849"/>
      <c r="I14" s="850">
        <v>29.592905613818633</v>
      </c>
      <c r="J14" s="851">
        <v>90.6501522206333</v>
      </c>
      <c r="K14" s="852"/>
      <c r="L14" s="852"/>
      <c r="M14" s="853">
        <v>0.11960000000000001</v>
      </c>
      <c r="N14" s="853">
        <v>0.09140000000000001</v>
      </c>
      <c r="O14" s="854">
        <v>0.0959402</v>
      </c>
      <c r="P14" s="855"/>
      <c r="Q14" s="855">
        <v>110.23382286108061</v>
      </c>
      <c r="R14" s="855">
        <v>96.57509616012517</v>
      </c>
      <c r="S14" s="855">
        <v>74.05548583234027</v>
      </c>
      <c r="T14" s="855">
        <v>84.84159359895014</v>
      </c>
      <c r="U14" s="835"/>
      <c r="V14" s="856">
        <v>36.89080814312153</v>
      </c>
      <c r="W14" s="856">
        <v>28.19247378161629</v>
      </c>
      <c r="X14" s="856">
        <v>29.59290561381863</v>
      </c>
      <c r="Y14" s="835"/>
      <c r="Z14" s="835"/>
      <c r="AA14" s="835"/>
      <c r="AB14" s="835">
        <v>2011</v>
      </c>
      <c r="AC14" s="835">
        <v>33.16769010500328</v>
      </c>
      <c r="AD14" s="835">
        <v>23.857642302848493</v>
      </c>
      <c r="AE14" s="861">
        <f t="shared" si="0"/>
        <v>0.1051602603526165</v>
      </c>
      <c r="AF14" s="861">
        <f t="shared" si="0"/>
        <v>0.11150868240714895</v>
      </c>
      <c r="AG14" s="835">
        <f>+AC14/AC13-1</f>
        <v>0.1051602603526165</v>
      </c>
      <c r="AH14" s="835">
        <f>1+AG14</f>
        <v>1.1051602603526165</v>
      </c>
      <c r="AI14" s="835"/>
      <c r="AJ14" s="835"/>
      <c r="AK14" s="835"/>
      <c r="AL14" s="835"/>
      <c r="AM14" s="835"/>
      <c r="AN14" s="835"/>
      <c r="AO14" s="835"/>
      <c r="AP14" s="835"/>
      <c r="AQ14" s="835"/>
      <c r="AR14" s="835"/>
      <c r="AS14" s="835"/>
      <c r="AT14" s="835"/>
      <c r="AU14" s="835"/>
      <c r="AV14" s="835"/>
      <c r="AW14" s="835"/>
      <c r="AX14" s="835"/>
      <c r="AY14" s="835"/>
      <c r="AZ14" s="835"/>
      <c r="BA14" s="835"/>
      <c r="BB14" s="835"/>
    </row>
    <row r="15" spans="1:54" ht="12.75">
      <c r="A15" s="835"/>
      <c r="B15" s="1008"/>
      <c r="C15" s="846" t="s">
        <v>166</v>
      </c>
      <c r="D15" s="846"/>
      <c r="E15" s="847">
        <v>0.34327919081008</v>
      </c>
      <c r="F15" s="848">
        <v>3.241</v>
      </c>
      <c r="G15" s="847">
        <v>0.10591767689295896</v>
      </c>
      <c r="H15" s="849"/>
      <c r="I15" s="850">
        <v>29.723850663375504</v>
      </c>
      <c r="J15" s="851">
        <v>105.91767689295897</v>
      </c>
      <c r="K15" s="852"/>
      <c r="L15" s="852"/>
      <c r="M15" s="853">
        <v>0.11960000000000001</v>
      </c>
      <c r="N15" s="853">
        <v>0.09140000000000001</v>
      </c>
      <c r="O15" s="854">
        <v>0.096335</v>
      </c>
      <c r="P15" s="855"/>
      <c r="Q15" s="855">
        <v>118.23580553117377</v>
      </c>
      <c r="R15" s="855">
        <v>117.77698098157893</v>
      </c>
      <c r="S15" s="855">
        <v>81.8356115536674</v>
      </c>
      <c r="T15" s="855">
        <v>102.90896723214472</v>
      </c>
      <c r="U15" s="835"/>
      <c r="V15" s="856">
        <v>36.902190681888314</v>
      </c>
      <c r="W15" s="856">
        <v>28.20117247763036</v>
      </c>
      <c r="X15" s="856">
        <v>29.7238506633755</v>
      </c>
      <c r="Y15" s="835"/>
      <c r="Z15" s="835"/>
      <c r="AA15" s="835"/>
      <c r="AB15" s="835">
        <v>2012</v>
      </c>
      <c r="AC15" s="835">
        <v>39.002663089805004</v>
      </c>
      <c r="AD15" s="835">
        <v>30.679836970693586</v>
      </c>
      <c r="AE15" s="861">
        <f t="shared" si="0"/>
        <v>0.17592340516717297</v>
      </c>
      <c r="AF15" s="861">
        <f t="shared" si="0"/>
        <v>0.28595426912870403</v>
      </c>
      <c r="AG15" s="835">
        <f>+AC15/AC14-1</f>
        <v>0.17592340516717297</v>
      </c>
      <c r="AH15" s="835">
        <f>1+AG15</f>
        <v>1.175923405167173</v>
      </c>
      <c r="AI15" s="835"/>
      <c r="AJ15" s="835"/>
      <c r="AK15" s="835"/>
      <c r="AL15" s="835"/>
      <c r="AM15" s="835"/>
      <c r="AN15" s="835"/>
      <c r="AO15" s="835"/>
      <c r="AP15" s="835"/>
      <c r="AQ15" s="835"/>
      <c r="AR15" s="835"/>
      <c r="AS15" s="835"/>
      <c r="AT15" s="835"/>
      <c r="AU15" s="835"/>
      <c r="AV15" s="835"/>
      <c r="AW15" s="835"/>
      <c r="AX15" s="835"/>
      <c r="AY15" s="835"/>
      <c r="AZ15" s="835"/>
      <c r="BA15" s="835"/>
      <c r="BB15" s="835"/>
    </row>
    <row r="16" spans="1:54" ht="12.75">
      <c r="A16" s="835"/>
      <c r="B16" s="1008"/>
      <c r="C16" s="846" t="s">
        <v>167</v>
      </c>
      <c r="D16" s="846">
        <v>38961</v>
      </c>
      <c r="E16" s="847">
        <v>0.48686454113055805</v>
      </c>
      <c r="F16" s="848">
        <v>3.25</v>
      </c>
      <c r="G16" s="847">
        <v>0.14980447419401785</v>
      </c>
      <c r="H16" s="849"/>
      <c r="I16" s="850">
        <v>29.693600000000004</v>
      </c>
      <c r="J16" s="851">
        <v>149.80447419401784</v>
      </c>
      <c r="K16" s="852"/>
      <c r="L16" s="852"/>
      <c r="M16" s="853">
        <v>0.11960000000000001</v>
      </c>
      <c r="N16" s="853">
        <v>0.09140000000000001</v>
      </c>
      <c r="O16" s="854">
        <v>0.09650420000000001</v>
      </c>
      <c r="P16" s="855"/>
      <c r="Q16" s="855">
        <v>165.14241426202506</v>
      </c>
      <c r="R16" s="855">
        <v>159.25845283913262</v>
      </c>
      <c r="S16" s="855">
        <v>127.42503924158083</v>
      </c>
      <c r="T16" s="855">
        <v>145.89430242190153</v>
      </c>
      <c r="U16" s="835"/>
      <c r="V16" s="856">
        <v>36.8</v>
      </c>
      <c r="W16" s="856">
        <v>28.123076923076923</v>
      </c>
      <c r="X16" s="856">
        <v>29.693600000000004</v>
      </c>
      <c r="Y16" s="835"/>
      <c r="Z16" s="835"/>
      <c r="AA16" s="835"/>
      <c r="AB16" s="835">
        <v>2013</v>
      </c>
      <c r="AC16" s="835">
        <v>40.201477951647206</v>
      </c>
      <c r="AD16" s="835">
        <v>26.5187104174116</v>
      </c>
      <c r="AE16" s="861">
        <f>+AC16/AC15-1</f>
        <v>0.03073674377264668</v>
      </c>
      <c r="AF16" s="861">
        <f>+AD16/AD15-1</f>
        <v>-0.13563066052980766</v>
      </c>
      <c r="AG16" s="835">
        <f>+AC16/AC15-1</f>
        <v>0.03073674377264668</v>
      </c>
      <c r="AH16" s="835">
        <f>1+AG16</f>
        <v>1.0307367437726467</v>
      </c>
      <c r="AI16" s="835"/>
      <c r="AJ16" s="835"/>
      <c r="AK16" s="835"/>
      <c r="AL16" s="835"/>
      <c r="AM16" s="835"/>
      <c r="AN16" s="835"/>
      <c r="AO16" s="835"/>
      <c r="AP16" s="835"/>
      <c r="AQ16" s="835"/>
      <c r="AR16" s="835"/>
      <c r="AS16" s="835"/>
      <c r="AT16" s="835"/>
      <c r="AU16" s="835"/>
      <c r="AV16" s="835"/>
      <c r="AW16" s="835"/>
      <c r="AX16" s="835"/>
      <c r="AY16" s="835"/>
      <c r="AZ16" s="835"/>
      <c r="BA16" s="835"/>
      <c r="BB16" s="835"/>
    </row>
    <row r="17" spans="1:54" ht="12.75">
      <c r="A17" s="835"/>
      <c r="B17" s="1008"/>
      <c r="C17" s="846" t="s">
        <v>168</v>
      </c>
      <c r="D17" s="846"/>
      <c r="E17" s="847">
        <v>0.23120895428681437</v>
      </c>
      <c r="F17" s="848">
        <v>3.216</v>
      </c>
      <c r="G17" s="847">
        <v>0.07189333155684526</v>
      </c>
      <c r="H17" s="849"/>
      <c r="I17" s="850">
        <v>29.954912935323385</v>
      </c>
      <c r="J17" s="851">
        <v>71.89333155684525</v>
      </c>
      <c r="K17" s="852"/>
      <c r="L17" s="852"/>
      <c r="M17" s="853">
        <v>0.11960000000000001</v>
      </c>
      <c r="N17" s="853">
        <v>0.09140000000000001</v>
      </c>
      <c r="O17" s="854">
        <v>0.096335</v>
      </c>
      <c r="P17" s="855"/>
      <c r="Q17" s="855">
        <v>104.96716793964137</v>
      </c>
      <c r="R17" s="855">
        <v>78.48220902774763</v>
      </c>
      <c r="S17" s="855">
        <v>43.191381916626156</v>
      </c>
      <c r="T17" s="855">
        <v>63.80053642538641</v>
      </c>
      <c r="U17" s="835"/>
      <c r="V17" s="856">
        <v>37.18905472636816</v>
      </c>
      <c r="W17" s="856">
        <v>28.420398009950247</v>
      </c>
      <c r="X17" s="856">
        <v>29.95491293532338</v>
      </c>
      <c r="Y17" s="835"/>
      <c r="Z17" s="835"/>
      <c r="AA17" s="835"/>
      <c r="AB17" s="835"/>
      <c r="AC17" s="835"/>
      <c r="AD17" s="835"/>
      <c r="AE17" s="835"/>
      <c r="AF17" s="835"/>
      <c r="AG17" s="835"/>
      <c r="AH17" s="835">
        <f>+PRODUCT(AH14:AH16)^(1/3)-1</f>
        <v>0.10234452865449817</v>
      </c>
      <c r="AI17" s="835"/>
      <c r="AJ17" s="835"/>
      <c r="AK17" s="835"/>
      <c r="AL17" s="835"/>
      <c r="AM17" s="835"/>
      <c r="AN17" s="835"/>
      <c r="AO17" s="835"/>
      <c r="AP17" s="835"/>
      <c r="AQ17" s="835"/>
      <c r="AR17" s="835"/>
      <c r="AS17" s="835"/>
      <c r="AT17" s="835"/>
      <c r="AU17" s="835"/>
      <c r="AV17" s="835"/>
      <c r="AW17" s="835"/>
      <c r="AX17" s="835"/>
      <c r="AY17" s="835"/>
      <c r="AZ17" s="835"/>
      <c r="BA17" s="835"/>
      <c r="BB17" s="835"/>
    </row>
    <row r="18" spans="1:54" ht="12.75">
      <c r="A18" s="835"/>
      <c r="B18" s="1008"/>
      <c r="C18" s="846" t="s">
        <v>169</v>
      </c>
      <c r="D18" s="846">
        <v>39022</v>
      </c>
      <c r="E18" s="850">
        <v>0.13081170576721798</v>
      </c>
      <c r="F18" s="850">
        <v>3.223</v>
      </c>
      <c r="G18" s="850">
        <v>0.04058693942513745</v>
      </c>
      <c r="H18" s="850"/>
      <c r="I18" s="850">
        <v>27.964788681352772</v>
      </c>
      <c r="J18" s="850">
        <v>40.58693942513745</v>
      </c>
      <c r="K18" s="867"/>
      <c r="L18" s="867"/>
      <c r="M18" s="867">
        <v>0.10822824</v>
      </c>
      <c r="N18" s="867">
        <v>0.08631816</v>
      </c>
      <c r="O18" s="868">
        <v>0.09013051391999999</v>
      </c>
      <c r="P18" s="869"/>
      <c r="Q18" s="869">
        <v>60.61821291664199</v>
      </c>
      <c r="R18" s="869">
        <v>48.256655879549704</v>
      </c>
      <c r="S18" s="869">
        <v>18.20420878085922</v>
      </c>
      <c r="T18" s="869">
        <v>35.73647736869842</v>
      </c>
      <c r="U18" s="869"/>
      <c r="V18" s="869">
        <v>33.579968973006515</v>
      </c>
      <c r="W18" s="869">
        <v>26.781929878994728</v>
      </c>
      <c r="X18" s="869">
        <v>27.964788681352772</v>
      </c>
      <c r="Y18" s="835"/>
      <c r="Z18" s="835"/>
      <c r="AA18" s="835"/>
      <c r="AB18" s="835"/>
      <c r="AC18" s="835"/>
      <c r="AD18" s="835"/>
      <c r="AE18" s="835"/>
      <c r="AF18" s="835"/>
      <c r="AG18" s="835"/>
      <c r="AH18" s="835"/>
      <c r="AI18" s="835"/>
      <c r="AJ18" s="835"/>
      <c r="AK18" s="835"/>
      <c r="AL18" s="835"/>
      <c r="AM18" s="835"/>
      <c r="AN18" s="835"/>
      <c r="AO18" s="835"/>
      <c r="AP18" s="835"/>
      <c r="AQ18" s="835"/>
      <c r="AR18" s="835"/>
      <c r="AS18" s="835"/>
      <c r="AT18" s="835"/>
      <c r="AU18" s="835"/>
      <c r="AV18" s="835"/>
      <c r="AW18" s="835"/>
      <c r="AX18" s="835"/>
      <c r="AY18" s="835"/>
      <c r="AZ18" s="835"/>
      <c r="BA18" s="835"/>
      <c r="BB18" s="835"/>
    </row>
    <row r="19" spans="1:54" ht="13.5" thickBot="1">
      <c r="A19" s="835"/>
      <c r="B19" s="1009"/>
      <c r="C19" s="870" t="s">
        <v>170</v>
      </c>
      <c r="D19" s="870"/>
      <c r="E19" s="871">
        <v>0.09229903690663281</v>
      </c>
      <c r="F19" s="871">
        <v>3.197</v>
      </c>
      <c r="G19" s="871">
        <v>0.02887051514126769</v>
      </c>
      <c r="H19" s="871"/>
      <c r="I19" s="871">
        <v>28.103122577416325</v>
      </c>
      <c r="J19" s="871">
        <v>28.870515141267692</v>
      </c>
      <c r="K19" s="872"/>
      <c r="L19" s="872"/>
      <c r="M19" s="872">
        <v>0.10822824</v>
      </c>
      <c r="N19" s="872">
        <v>0.08631816</v>
      </c>
      <c r="O19" s="872">
        <v>0.08984568288</v>
      </c>
      <c r="P19" s="872"/>
      <c r="Q19" s="872">
        <v>51.14939151497402</v>
      </c>
      <c r="R19" s="872">
        <v>31.464390379331387</v>
      </c>
      <c r="S19" s="872">
        <v>12.949207698739148</v>
      </c>
      <c r="T19" s="872">
        <v>23.85799178113937</v>
      </c>
      <c r="U19" s="872"/>
      <c r="V19" s="872">
        <v>33.85306224585549</v>
      </c>
      <c r="W19" s="872">
        <v>26.999737253675324</v>
      </c>
      <c r="X19" s="872">
        <v>28.10312257741633</v>
      </c>
      <c r="Y19" s="873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  <c r="AM19" s="835"/>
      <c r="AN19" s="835"/>
      <c r="AO19" s="835"/>
      <c r="AP19" s="835"/>
      <c r="AQ19" s="835"/>
      <c r="AR19" s="835"/>
      <c r="AS19" s="835"/>
      <c r="AT19" s="835"/>
      <c r="AU19" s="835"/>
      <c r="AV19" s="835"/>
      <c r="AW19" s="835"/>
      <c r="AX19" s="835"/>
      <c r="AY19" s="835"/>
      <c r="AZ19" s="835"/>
      <c r="BA19" s="835"/>
      <c r="BB19" s="835"/>
    </row>
    <row r="20" spans="1:54" ht="12.75">
      <c r="A20" s="835"/>
      <c r="B20" s="1007">
        <v>2007</v>
      </c>
      <c r="C20" s="875" t="s">
        <v>150</v>
      </c>
      <c r="D20" s="875">
        <v>39083</v>
      </c>
      <c r="E20" s="876">
        <v>0.0799801086001232</v>
      </c>
      <c r="F20" s="876">
        <v>3.199</v>
      </c>
      <c r="G20" s="876">
        <v>0.02500159693658118</v>
      </c>
      <c r="H20" s="876"/>
      <c r="I20" s="876">
        <v>28.13349591747421</v>
      </c>
      <c r="J20" s="876">
        <v>25.00159693658118</v>
      </c>
      <c r="K20" s="872"/>
      <c r="L20" s="872"/>
      <c r="M20" s="872">
        <v>0.10822824</v>
      </c>
      <c r="N20" s="872">
        <v>0.08631816</v>
      </c>
      <c r="O20" s="872">
        <v>0.08999905344</v>
      </c>
      <c r="P20" s="872"/>
      <c r="Q20" s="872">
        <v>49.27608301884352</v>
      </c>
      <c r="R20" s="872">
        <v>30.176181266636398</v>
      </c>
      <c r="S20" s="872">
        <v>3.4465095628920426</v>
      </c>
      <c r="T20" s="872">
        <v>19.09680934303986</v>
      </c>
      <c r="U20" s="872"/>
      <c r="V20" s="872">
        <v>33.83189746795874</v>
      </c>
      <c r="W20" s="872">
        <v>26.982857142857146</v>
      </c>
      <c r="X20" s="872">
        <v>28.133495917474214</v>
      </c>
      <c r="Y20" s="873"/>
      <c r="Z20" s="87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  <c r="AK20" s="874"/>
      <c r="AL20" s="874"/>
      <c r="AM20" s="835"/>
      <c r="AN20" s="835"/>
      <c r="AO20" s="835"/>
      <c r="AP20" s="835"/>
      <c r="AQ20" s="835"/>
      <c r="AR20" s="835"/>
      <c r="AS20" s="835"/>
      <c r="AT20" s="835"/>
      <c r="AU20" s="835"/>
      <c r="AV20" s="835"/>
      <c r="AW20" s="835"/>
      <c r="AX20" s="835"/>
      <c r="AY20" s="835"/>
      <c r="AZ20" s="835"/>
      <c r="BA20" s="835"/>
      <c r="BB20" s="835"/>
    </row>
    <row r="21" spans="1:54" ht="12.75">
      <c r="A21" s="835"/>
      <c r="B21" s="1008"/>
      <c r="C21" s="846" t="s">
        <v>155</v>
      </c>
      <c r="D21" s="846"/>
      <c r="E21" s="850">
        <v>0.11366605858732343</v>
      </c>
      <c r="F21" s="850">
        <v>3.19</v>
      </c>
      <c r="G21" s="850">
        <v>0.035631993287562204</v>
      </c>
      <c r="H21" s="850"/>
      <c r="I21" s="850">
        <v>28.2884214169279</v>
      </c>
      <c r="J21" s="850">
        <v>35.6319932875622</v>
      </c>
      <c r="K21" s="872"/>
      <c r="L21" s="872"/>
      <c r="M21" s="872">
        <v>0.10822824</v>
      </c>
      <c r="N21" s="872">
        <v>0.08631816</v>
      </c>
      <c r="O21" s="872">
        <v>0.09024006432000001</v>
      </c>
      <c r="P21" s="872"/>
      <c r="Q21" s="872">
        <v>63.87786698076976</v>
      </c>
      <c r="R21" s="872">
        <v>43.126673737219015</v>
      </c>
      <c r="S21" s="872">
        <v>8.294990424088034</v>
      </c>
      <c r="T21" s="872">
        <v>28.639882804950144</v>
      </c>
      <c r="U21" s="872"/>
      <c r="V21" s="872">
        <v>33.92734796238245</v>
      </c>
      <c r="W21" s="872">
        <v>27.05898432601881</v>
      </c>
      <c r="X21" s="872">
        <v>28.288421416927903</v>
      </c>
      <c r="Y21" s="874"/>
      <c r="Z21" s="874"/>
      <c r="AA21" s="874"/>
      <c r="AB21" s="874"/>
      <c r="AC21" s="874"/>
      <c r="AD21" s="874"/>
      <c r="AE21" s="874"/>
      <c r="AF21" s="874"/>
      <c r="AG21" s="874"/>
      <c r="AH21" s="874"/>
      <c r="AI21" s="874"/>
      <c r="AJ21" s="874"/>
      <c r="AK21" s="874"/>
      <c r="AL21" s="874"/>
      <c r="AM21" s="835"/>
      <c r="AN21" s="835"/>
      <c r="AO21" s="835"/>
      <c r="AP21" s="835"/>
      <c r="AQ21" s="835"/>
      <c r="AR21" s="835"/>
      <c r="AS21" s="835"/>
      <c r="AT21" s="835"/>
      <c r="AU21" s="835"/>
      <c r="AV21" s="835"/>
      <c r="AW21" s="835"/>
      <c r="AX21" s="835"/>
      <c r="AY21" s="835"/>
      <c r="AZ21" s="835"/>
      <c r="BA21" s="835"/>
      <c r="BB21" s="835"/>
    </row>
    <row r="22" spans="1:54" ht="12.75">
      <c r="A22" s="835"/>
      <c r="B22" s="1008"/>
      <c r="C22" s="846" t="s">
        <v>159</v>
      </c>
      <c r="D22" s="846">
        <v>39142</v>
      </c>
      <c r="E22" s="850">
        <v>0.14675601129159488</v>
      </c>
      <c r="F22" s="850">
        <v>3.184</v>
      </c>
      <c r="G22" s="850">
        <v>0.04609171208906874</v>
      </c>
      <c r="H22" s="850"/>
      <c r="I22" s="850">
        <v>28.35549135678392</v>
      </c>
      <c r="J22" s="850">
        <v>46.091712089068736</v>
      </c>
      <c r="K22" s="872"/>
      <c r="L22" s="872"/>
      <c r="M22" s="872">
        <v>0.10822824</v>
      </c>
      <c r="N22" s="872">
        <v>0.08631816</v>
      </c>
      <c r="O22" s="872">
        <v>0.09028388447999999</v>
      </c>
      <c r="P22" s="872"/>
      <c r="Q22" s="872">
        <v>86.70670136171637</v>
      </c>
      <c r="R22" s="872">
        <v>51.19197808666432</v>
      </c>
      <c r="S22" s="872">
        <v>14.719443936654503</v>
      </c>
      <c r="T22" s="872">
        <v>35.89997017949636</v>
      </c>
      <c r="U22" s="872"/>
      <c r="V22" s="872">
        <v>33.991281407035174</v>
      </c>
      <c r="W22" s="872">
        <v>27.109974874371858</v>
      </c>
      <c r="X22" s="872">
        <v>28.355491356783915</v>
      </c>
      <c r="Y22" s="874"/>
      <c r="Z22" s="874"/>
      <c r="AA22" s="874"/>
      <c r="AB22" s="874"/>
      <c r="AC22" s="874"/>
      <c r="AD22" s="874"/>
      <c r="AE22" s="874"/>
      <c r="AF22" s="874"/>
      <c r="AG22" s="874"/>
      <c r="AH22" s="874"/>
      <c r="AI22" s="874"/>
      <c r="AJ22" s="874"/>
      <c r="AK22" s="874"/>
      <c r="AL22" s="874"/>
      <c r="AM22" s="835"/>
      <c r="AN22" s="835"/>
      <c r="AO22" s="835"/>
      <c r="AP22" s="835"/>
      <c r="AQ22" s="835"/>
      <c r="AR22" s="835"/>
      <c r="AS22" s="835"/>
      <c r="AT22" s="835"/>
      <c r="AU22" s="835"/>
      <c r="AV22" s="835"/>
      <c r="AW22" s="835"/>
      <c r="AX22" s="835"/>
      <c r="AY22" s="835"/>
      <c r="AZ22" s="835"/>
      <c r="BA22" s="835"/>
      <c r="BB22" s="835"/>
    </row>
    <row r="23" spans="1:54" ht="12.75">
      <c r="A23" s="835"/>
      <c r="B23" s="1008"/>
      <c r="C23" s="846" t="s">
        <v>161</v>
      </c>
      <c r="D23" s="846"/>
      <c r="E23" s="850">
        <v>0.1096257689706156</v>
      </c>
      <c r="F23" s="850">
        <v>3.172</v>
      </c>
      <c r="G23" s="850">
        <v>0.034560456800320175</v>
      </c>
      <c r="H23" s="850"/>
      <c r="I23" s="850">
        <v>28.31770895334174</v>
      </c>
      <c r="J23" s="850">
        <v>34.560456800320175</v>
      </c>
      <c r="K23" s="872"/>
      <c r="L23" s="872"/>
      <c r="M23" s="872">
        <v>0.10822824</v>
      </c>
      <c r="N23" s="872">
        <v>0.08631816</v>
      </c>
      <c r="O23" s="872">
        <v>0.0898237728</v>
      </c>
      <c r="P23" s="872"/>
      <c r="Q23" s="872">
        <v>84.41035725123764</v>
      </c>
      <c r="R23" s="872">
        <v>31.642311095727244</v>
      </c>
      <c r="S23" s="872">
        <v>11.556323471016826</v>
      </c>
      <c r="T23" s="872">
        <v>23.416736422315157</v>
      </c>
      <c r="U23" s="872"/>
      <c r="V23" s="872">
        <v>34.11987389659521</v>
      </c>
      <c r="W23" s="872">
        <v>27.212534678436317</v>
      </c>
      <c r="X23" s="872">
        <v>28.31770895334174</v>
      </c>
      <c r="Y23" s="874"/>
      <c r="Z23" s="874"/>
      <c r="AA23" s="874"/>
      <c r="AB23" s="874"/>
      <c r="AC23" s="874"/>
      <c r="AD23" s="874"/>
      <c r="AE23" s="874"/>
      <c r="AF23" s="874"/>
      <c r="AG23" s="874"/>
      <c r="AH23" s="874"/>
      <c r="AI23" s="874"/>
      <c r="AJ23" s="874"/>
      <c r="AK23" s="874"/>
      <c r="AL23" s="874"/>
      <c r="AM23" s="835"/>
      <c r="AN23" s="835"/>
      <c r="AO23" s="835"/>
      <c r="AP23" s="835"/>
      <c r="AQ23" s="835"/>
      <c r="AR23" s="835"/>
      <c r="AS23" s="835"/>
      <c r="AT23" s="835"/>
      <c r="AU23" s="835"/>
      <c r="AV23" s="835"/>
      <c r="AW23" s="835"/>
      <c r="AX23" s="835"/>
      <c r="AY23" s="835"/>
      <c r="AZ23" s="835"/>
      <c r="BA23" s="835"/>
      <c r="BB23" s="835"/>
    </row>
    <row r="24" spans="1:54" ht="12.75">
      <c r="A24" s="835"/>
      <c r="B24" s="1008"/>
      <c r="C24" s="846" t="s">
        <v>163</v>
      </c>
      <c r="D24" s="846">
        <v>39203</v>
      </c>
      <c r="E24" s="850">
        <v>0.11534907791311343</v>
      </c>
      <c r="F24" s="850">
        <v>3.175</v>
      </c>
      <c r="G24" s="850">
        <v>0.03633041824035069</v>
      </c>
      <c r="H24" s="850"/>
      <c r="I24" s="850">
        <v>29.08938582677165</v>
      </c>
      <c r="J24" s="850">
        <v>36.33041824035069</v>
      </c>
      <c r="K24" s="872"/>
      <c r="L24" s="872"/>
      <c r="M24" s="872">
        <v>0.114</v>
      </c>
      <c r="N24" s="872">
        <v>0.08779999999999999</v>
      </c>
      <c r="O24" s="872">
        <v>0.09235879999999999</v>
      </c>
      <c r="P24" s="872"/>
      <c r="Q24" s="872">
        <v>55.110809593848884</v>
      </c>
      <c r="R24" s="872">
        <v>37.21996317581856</v>
      </c>
      <c r="S24" s="872">
        <v>23.98365628136461</v>
      </c>
      <c r="T24" s="872">
        <v>31.687950098277657</v>
      </c>
      <c r="U24" s="872"/>
      <c r="V24" s="872">
        <v>35.90551181102362</v>
      </c>
      <c r="W24" s="872">
        <v>27.65354330708661</v>
      </c>
      <c r="X24" s="872">
        <v>29.089385826771654</v>
      </c>
      <c r="Y24" s="874" t="s">
        <v>171</v>
      </c>
      <c r="Z24" s="87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  <c r="AM24" s="835"/>
      <c r="AN24" s="835"/>
      <c r="AO24" s="835"/>
      <c r="AP24" s="835"/>
      <c r="AQ24" s="835"/>
      <c r="AR24" s="835"/>
      <c r="AS24" s="835"/>
      <c r="AT24" s="835"/>
      <c r="AU24" s="835"/>
      <c r="AV24" s="835"/>
      <c r="AW24" s="835"/>
      <c r="AX24" s="835"/>
      <c r="AY24" s="835"/>
      <c r="AZ24" s="835"/>
      <c r="BA24" s="835"/>
      <c r="BB24" s="835"/>
    </row>
    <row r="25" spans="1:54" ht="12.75">
      <c r="A25" s="835"/>
      <c r="B25" s="1008"/>
      <c r="C25" s="846" t="s">
        <v>164</v>
      </c>
      <c r="D25" s="846"/>
      <c r="E25" s="847">
        <v>0.20849612193301884</v>
      </c>
      <c r="F25" s="847">
        <v>3.169</v>
      </c>
      <c r="G25" s="847">
        <v>0.06579240199842816</v>
      </c>
      <c r="H25" s="847"/>
      <c r="I25" s="847">
        <v>29.23931839697065</v>
      </c>
      <c r="J25" s="847">
        <v>65.79240199842816</v>
      </c>
      <c r="K25" s="877"/>
      <c r="L25" s="874"/>
      <c r="M25" s="874">
        <v>0.12</v>
      </c>
      <c r="N25" s="874">
        <v>0.08689999999999999</v>
      </c>
      <c r="O25" s="874">
        <v>0.09265939999999999</v>
      </c>
      <c r="P25" s="874"/>
      <c r="Q25" s="874">
        <v>92.46782006133193</v>
      </c>
      <c r="R25" s="874">
        <v>67.75374592677589</v>
      </c>
      <c r="S25" s="874">
        <v>47.32094747533572</v>
      </c>
      <c r="T25" s="874">
        <v>59.23990816354472</v>
      </c>
      <c r="U25" s="874"/>
      <c r="V25" s="874">
        <v>37.86683496371094</v>
      </c>
      <c r="W25" s="874">
        <v>27.421899652887344</v>
      </c>
      <c r="X25" s="874">
        <v>29.239318396970653</v>
      </c>
      <c r="Y25" s="874"/>
      <c r="Z25" s="874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874"/>
      <c r="AL25" s="874"/>
      <c r="AM25" s="835"/>
      <c r="AN25" s="835"/>
      <c r="AO25" s="835"/>
      <c r="AP25" s="835"/>
      <c r="AQ25" s="835"/>
      <c r="AR25" s="835"/>
      <c r="AS25" s="835"/>
      <c r="AT25" s="835"/>
      <c r="AU25" s="835"/>
      <c r="AV25" s="835"/>
      <c r="AW25" s="835"/>
      <c r="AX25" s="835"/>
      <c r="AY25" s="835"/>
      <c r="AZ25" s="835"/>
      <c r="BA25" s="835"/>
      <c r="BB25" s="835"/>
    </row>
    <row r="26" spans="1:54" ht="12.75">
      <c r="A26" s="835"/>
      <c r="B26" s="1008"/>
      <c r="C26" s="846" t="s">
        <v>165</v>
      </c>
      <c r="D26" s="846">
        <v>39264</v>
      </c>
      <c r="E26" s="850">
        <v>0.08803643628466139</v>
      </c>
      <c r="F26" s="850">
        <v>3.161</v>
      </c>
      <c r="G26" s="847">
        <v>0.027850818185593606</v>
      </c>
      <c r="H26" s="847"/>
      <c r="I26" s="847">
        <v>29.177190762416952</v>
      </c>
      <c r="J26" s="847">
        <v>27.850818185593607</v>
      </c>
      <c r="K26" s="877"/>
      <c r="L26" s="877"/>
      <c r="M26" s="877">
        <v>0.12</v>
      </c>
      <c r="N26" s="877">
        <v>0.08689999999999999</v>
      </c>
      <c r="O26" s="877">
        <v>0.0922291</v>
      </c>
      <c r="P26" s="877"/>
      <c r="Q26" s="877">
        <v>34.11461217921594</v>
      </c>
      <c r="R26" s="877">
        <v>28.290546566559783</v>
      </c>
      <c r="S26" s="877">
        <v>23.61990600140262</v>
      </c>
      <c r="T26" s="877">
        <v>26.365718869492248</v>
      </c>
      <c r="U26" s="877"/>
      <c r="V26" s="877">
        <v>37.96267004112622</v>
      </c>
      <c r="W26" s="877">
        <v>27.491300221448903</v>
      </c>
      <c r="X26" s="877">
        <v>29.177190762416956</v>
      </c>
      <c r="Y26" s="878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35"/>
      <c r="AK26" s="835"/>
      <c r="AL26" s="835"/>
      <c r="AM26" s="835"/>
      <c r="AN26" s="835"/>
      <c r="AO26" s="835"/>
      <c r="AP26" s="835"/>
      <c r="AQ26" s="835"/>
      <c r="AR26" s="835"/>
      <c r="AS26" s="835"/>
      <c r="AT26" s="835"/>
      <c r="AU26" s="835"/>
      <c r="AV26" s="835"/>
      <c r="AW26" s="835"/>
      <c r="AX26" s="835"/>
      <c r="AY26" s="835"/>
      <c r="AZ26" s="835"/>
      <c r="BA26" s="835"/>
      <c r="BB26" s="835"/>
    </row>
    <row r="27" spans="1:54" ht="12.75">
      <c r="A27" s="835"/>
      <c r="B27" s="1008"/>
      <c r="C27" s="846" t="s">
        <v>166</v>
      </c>
      <c r="D27" s="846"/>
      <c r="E27" s="847">
        <v>0.14278434944045829</v>
      </c>
      <c r="F27" s="847">
        <v>3.163</v>
      </c>
      <c r="G27" s="847">
        <v>0.04514206431882969</v>
      </c>
      <c r="H27" s="847"/>
      <c r="I27" s="847">
        <v>30.829121087575086</v>
      </c>
      <c r="J27" s="847">
        <v>45.14206431882969</v>
      </c>
      <c r="K27" s="877"/>
      <c r="L27" s="877"/>
      <c r="M27" s="877">
        <v>0.12624000000000002</v>
      </c>
      <c r="N27" s="877">
        <v>0.09141880000000001</v>
      </c>
      <c r="O27" s="877">
        <v>0.09751251</v>
      </c>
      <c r="P27" s="877"/>
      <c r="Q27" s="877">
        <v>52.68105948806901</v>
      </c>
      <c r="R27" s="877">
        <v>48.960009237319966</v>
      </c>
      <c r="S27" s="877">
        <v>35.275551273632374</v>
      </c>
      <c r="T27" s="877">
        <v>43.30225745923322</v>
      </c>
      <c r="U27" s="877"/>
      <c r="V27" s="877">
        <v>39.91147644641165</v>
      </c>
      <c r="W27" s="877">
        <v>28.902560859943097</v>
      </c>
      <c r="X27" s="877">
        <v>30.829121087575086</v>
      </c>
      <c r="Y27" s="878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35"/>
      <c r="AK27" s="835"/>
      <c r="AL27" s="835"/>
      <c r="AM27" s="835"/>
      <c r="AN27" s="835"/>
      <c r="AO27" s="835"/>
      <c r="AP27" s="835"/>
      <c r="AQ27" s="835"/>
      <c r="AR27" s="835"/>
      <c r="AS27" s="835"/>
      <c r="AT27" s="835"/>
      <c r="AU27" s="835"/>
      <c r="AV27" s="835"/>
      <c r="AW27" s="835"/>
      <c r="AX27" s="835"/>
      <c r="AY27" s="835"/>
      <c r="AZ27" s="835"/>
      <c r="BA27" s="835"/>
      <c r="BB27" s="835"/>
    </row>
    <row r="28" spans="1:54" ht="12.75">
      <c r="A28" s="835"/>
      <c r="B28" s="1008"/>
      <c r="C28" s="846" t="s">
        <v>172</v>
      </c>
      <c r="D28" s="846">
        <v>39326</v>
      </c>
      <c r="E28" s="850">
        <v>0.10650386404041466</v>
      </c>
      <c r="F28" s="850">
        <v>3.087</v>
      </c>
      <c r="G28" s="850">
        <v>0.034500765805122985</v>
      </c>
      <c r="H28" s="850"/>
      <c r="I28" s="850">
        <v>31.655794363459666</v>
      </c>
      <c r="J28" s="850">
        <v>34.50076580512299</v>
      </c>
      <c r="K28" s="872"/>
      <c r="L28" s="872"/>
      <c r="M28" s="872">
        <v>0.12624000000000002</v>
      </c>
      <c r="N28" s="872">
        <v>0.09141880000000001</v>
      </c>
      <c r="O28" s="872">
        <v>0.0977214372</v>
      </c>
      <c r="P28" s="872"/>
      <c r="Q28" s="872">
        <v>39.41807910885582</v>
      </c>
      <c r="R28" s="872">
        <v>38.55729498552019</v>
      </c>
      <c r="S28" s="872">
        <v>25.867286280760318</v>
      </c>
      <c r="T28" s="872">
        <v>33.28550059107308</v>
      </c>
      <c r="U28" s="878"/>
      <c r="V28" s="878">
        <v>40.89407191448008</v>
      </c>
      <c r="W28" s="878">
        <v>29.61412374473599</v>
      </c>
      <c r="X28" s="878">
        <v>31.655794363459666</v>
      </c>
      <c r="Y28" s="878">
        <v>120</v>
      </c>
      <c r="Z28" s="835"/>
      <c r="AA28" s="835"/>
      <c r="AB28" s="835"/>
      <c r="AC28" s="835"/>
      <c r="AD28" s="835"/>
      <c r="AE28" s="835"/>
      <c r="AF28" s="835"/>
      <c r="AG28" s="835"/>
      <c r="AH28" s="835"/>
      <c r="AI28" s="835"/>
      <c r="AJ28" s="835"/>
      <c r="AK28" s="835"/>
      <c r="AL28" s="835"/>
      <c r="AM28" s="835"/>
      <c r="AN28" s="835"/>
      <c r="AO28" s="835"/>
      <c r="AP28" s="835"/>
      <c r="AQ28" s="835"/>
      <c r="AR28" s="835"/>
      <c r="AS28" s="835"/>
      <c r="AT28" s="835"/>
      <c r="AU28" s="835"/>
      <c r="AV28" s="835"/>
      <c r="AW28" s="835"/>
      <c r="AX28" s="835"/>
      <c r="AY28" s="835"/>
      <c r="AZ28" s="835"/>
      <c r="BA28" s="835"/>
      <c r="BB28" s="835"/>
    </row>
    <row r="29" spans="1:54" ht="12.75">
      <c r="A29" s="835"/>
      <c r="B29" s="1008"/>
      <c r="C29" s="846" t="s">
        <v>168</v>
      </c>
      <c r="D29" s="846"/>
      <c r="E29" s="847">
        <v>0.10654947040758003</v>
      </c>
      <c r="F29" s="847">
        <v>2.998</v>
      </c>
      <c r="G29" s="847">
        <v>0.03554018359158773</v>
      </c>
      <c r="H29" s="847"/>
      <c r="I29" s="847">
        <v>32.52585390260173</v>
      </c>
      <c r="J29" s="847">
        <v>35.540183591587734</v>
      </c>
      <c r="K29" s="877"/>
      <c r="L29" s="877"/>
      <c r="M29" s="877">
        <v>0.12624000000000002</v>
      </c>
      <c r="N29" s="877">
        <v>0.09141880000000001</v>
      </c>
      <c r="O29" s="877">
        <v>0.09751251</v>
      </c>
      <c r="P29" s="877"/>
      <c r="Q29" s="877">
        <v>47.41522958621566</v>
      </c>
      <c r="R29" s="877">
        <v>36.40886278243837</v>
      </c>
      <c r="S29" s="877">
        <v>27.25682210099066</v>
      </c>
      <c r="T29" s="877">
        <v>32.59928414043589</v>
      </c>
      <c r="U29" s="877"/>
      <c r="V29" s="877">
        <v>42.10807204803203</v>
      </c>
      <c r="W29" s="877">
        <v>30.493262174783187</v>
      </c>
      <c r="X29" s="877">
        <v>32.52585390260173</v>
      </c>
      <c r="Y29" s="878">
        <v>120</v>
      </c>
      <c r="Z29" s="835"/>
      <c r="AA29" s="835"/>
      <c r="AB29" s="835"/>
      <c r="AC29" s="835"/>
      <c r="AD29" s="835"/>
      <c r="AE29" s="835"/>
      <c r="AF29" s="835"/>
      <c r="AG29" s="835"/>
      <c r="AH29" s="835"/>
      <c r="AI29" s="835"/>
      <c r="AJ29" s="835"/>
      <c r="AK29" s="835"/>
      <c r="AL29" s="835"/>
      <c r="AM29" s="835"/>
      <c r="AN29" s="835"/>
      <c r="AO29" s="835"/>
      <c r="AP29" s="835"/>
      <c r="AQ29" s="835"/>
      <c r="AR29" s="835"/>
      <c r="AS29" s="835"/>
      <c r="AT29" s="835"/>
      <c r="AU29" s="835"/>
      <c r="AV29" s="835"/>
      <c r="AW29" s="835"/>
      <c r="AX29" s="835"/>
      <c r="AY29" s="835"/>
      <c r="AZ29" s="835"/>
      <c r="BA29" s="835"/>
      <c r="BB29" s="835"/>
    </row>
    <row r="30" spans="1:54" ht="12.75">
      <c r="A30" s="835"/>
      <c r="B30" s="1008"/>
      <c r="C30" s="846" t="s">
        <v>169</v>
      </c>
      <c r="D30" s="846">
        <v>39387</v>
      </c>
      <c r="E30" s="850">
        <v>0.08856907232381263</v>
      </c>
      <c r="F30" s="850">
        <v>3</v>
      </c>
      <c r="G30" s="850">
        <v>0.029523024107937543</v>
      </c>
      <c r="H30" s="850"/>
      <c r="I30" s="850">
        <v>30.67458550533333</v>
      </c>
      <c r="J30" s="850">
        <v>29.52302410793754</v>
      </c>
      <c r="K30" s="872"/>
      <c r="L30" s="872"/>
      <c r="M30" s="872">
        <v>0.1191768</v>
      </c>
      <c r="N30" s="872">
        <v>0.08630386599999999</v>
      </c>
      <c r="O30" s="872">
        <v>0.09202375651599999</v>
      </c>
      <c r="P30" s="872"/>
      <c r="Q30" s="872">
        <v>40.12521139654132</v>
      </c>
      <c r="R30" s="872">
        <v>31.104740488913265</v>
      </c>
      <c r="S30" s="872">
        <v>20.99441419770166</v>
      </c>
      <c r="T30" s="872">
        <v>26.913107466759634</v>
      </c>
      <c r="U30" s="874"/>
      <c r="V30" s="874">
        <v>39.7256</v>
      </c>
      <c r="W30" s="874">
        <v>28.76795533333333</v>
      </c>
      <c r="X30" s="874">
        <v>30.674585505333333</v>
      </c>
      <c r="Y30" s="878">
        <v>120</v>
      </c>
      <c r="Z30" s="835"/>
      <c r="AA30" s="835"/>
      <c r="AB30" s="835"/>
      <c r="AC30" s="835"/>
      <c r="AD30" s="835"/>
      <c r="AE30" s="835"/>
      <c r="AF30" s="835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835"/>
      <c r="AW30" s="835"/>
      <c r="AX30" s="835"/>
      <c r="AY30" s="835"/>
      <c r="AZ30" s="835"/>
      <c r="BA30" s="835"/>
      <c r="BB30" s="835"/>
    </row>
    <row r="31" spans="1:54" ht="13.5" thickBot="1">
      <c r="A31" s="835"/>
      <c r="B31" s="1009"/>
      <c r="C31" s="870" t="s">
        <v>170</v>
      </c>
      <c r="D31" s="870"/>
      <c r="E31" s="879">
        <v>0.13228707924114408</v>
      </c>
      <c r="F31" s="879">
        <v>2.997</v>
      </c>
      <c r="G31" s="879">
        <v>0.04413983291329466</v>
      </c>
      <c r="H31" s="879"/>
      <c r="I31" s="880">
        <v>30.36143812479146</v>
      </c>
      <c r="J31" s="880">
        <v>44.13983291329466</v>
      </c>
      <c r="K31" s="877"/>
      <c r="L31" s="881"/>
      <c r="M31" s="881">
        <v>0.118392</v>
      </c>
      <c r="N31" s="881">
        <v>0.08573554</v>
      </c>
      <c r="O31" s="881">
        <v>0.09099323006</v>
      </c>
      <c r="P31" s="881"/>
      <c r="Q31" s="881">
        <v>57.71288198781246</v>
      </c>
      <c r="R31" s="881">
        <v>43.09097991532234</v>
      </c>
      <c r="S31" s="881">
        <v>38.20707490996589</v>
      </c>
      <c r="T31" s="881">
        <v>41.07469621036092</v>
      </c>
      <c r="U31" s="881"/>
      <c r="V31" s="881">
        <v>39.5035035035035</v>
      </c>
      <c r="W31" s="881">
        <v>28.60712045378712</v>
      </c>
      <c r="X31" s="881">
        <v>30.36143812479146</v>
      </c>
      <c r="Y31" s="878">
        <v>120</v>
      </c>
      <c r="Z31" s="835"/>
      <c r="AA31" s="835"/>
      <c r="AB31" s="835"/>
      <c r="AC31" s="835"/>
      <c r="AD31" s="835"/>
      <c r="AE31" s="835"/>
      <c r="AF31" s="835"/>
      <c r="AG31" s="835"/>
      <c r="AH31" s="835"/>
      <c r="AI31" s="835"/>
      <c r="AJ31" s="835"/>
      <c r="AK31" s="835"/>
      <c r="AL31" s="835"/>
      <c r="AM31" s="835"/>
      <c r="AN31" s="835"/>
      <c r="AO31" s="835"/>
      <c r="AP31" s="835"/>
      <c r="AQ31" s="835"/>
      <c r="AR31" s="835"/>
      <c r="AS31" s="835"/>
      <c r="AT31" s="835"/>
      <c r="AU31" s="835"/>
      <c r="AV31" s="835"/>
      <c r="AW31" s="835"/>
      <c r="AX31" s="835"/>
      <c r="AY31" s="835"/>
      <c r="AZ31" s="835"/>
      <c r="BA31" s="835"/>
      <c r="BB31" s="835"/>
    </row>
    <row r="32" spans="1:54" ht="12.75">
      <c r="A32" s="835"/>
      <c r="B32" s="1007">
        <v>2008</v>
      </c>
      <c r="C32" s="875" t="s">
        <v>150</v>
      </c>
      <c r="D32" s="875">
        <v>39448</v>
      </c>
      <c r="E32" s="882">
        <v>0.05107423178605327</v>
      </c>
      <c r="F32" s="883">
        <v>2.934</v>
      </c>
      <c r="G32" s="882">
        <v>0.01740771362851168</v>
      </c>
      <c r="H32" s="884"/>
      <c r="I32" s="882">
        <v>29.17281880862853</v>
      </c>
      <c r="J32" s="882">
        <v>17.40771362851168</v>
      </c>
      <c r="K32" s="853"/>
      <c r="L32" s="835"/>
      <c r="M32" s="853">
        <v>0.11108670967741935</v>
      </c>
      <c r="N32" s="853">
        <v>0.08044529225806452</v>
      </c>
      <c r="O32" s="854">
        <v>0.08559305038451612</v>
      </c>
      <c r="P32" s="835"/>
      <c r="Q32" s="855">
        <v>28.62835240369948</v>
      </c>
      <c r="R32" s="855">
        <v>20.488678636264382</v>
      </c>
      <c r="S32" s="855">
        <v>6.832413600968437</v>
      </c>
      <c r="T32" s="855">
        <v>14.919641120484528</v>
      </c>
      <c r="U32" s="835"/>
      <c r="V32" s="856">
        <v>37.861864239065895</v>
      </c>
      <c r="W32" s="856">
        <v>27.41830001979022</v>
      </c>
      <c r="X32" s="856">
        <v>29.17281880862853</v>
      </c>
      <c r="Y32" s="878">
        <v>120</v>
      </c>
      <c r="Z32" s="835"/>
      <c r="AA32" s="835"/>
      <c r="AB32" s="835"/>
      <c r="AC32" s="835"/>
      <c r="AD32" s="835"/>
      <c r="AE32" s="835"/>
      <c r="AF32" s="835"/>
      <c r="AG32" s="835"/>
      <c r="AH32" s="835"/>
      <c r="AI32" s="835"/>
      <c r="AJ32" s="835"/>
      <c r="AK32" s="835"/>
      <c r="AL32" s="835"/>
      <c r="AM32" s="835"/>
      <c r="AN32" s="835"/>
      <c r="AO32" s="835"/>
      <c r="AP32" s="835"/>
      <c r="AQ32" s="835"/>
      <c r="AR32" s="835"/>
      <c r="AS32" s="835"/>
      <c r="AT32" s="835"/>
      <c r="AU32" s="835"/>
      <c r="AV32" s="835"/>
      <c r="AW32" s="835"/>
      <c r="AX32" s="835"/>
      <c r="AY32" s="835"/>
      <c r="AZ32" s="835"/>
      <c r="BA32" s="835"/>
      <c r="BB32" s="835"/>
    </row>
    <row r="33" spans="1:54" ht="12.75">
      <c r="A33" s="835"/>
      <c r="B33" s="1008"/>
      <c r="C33" s="846" t="s">
        <v>155</v>
      </c>
      <c r="D33" s="846"/>
      <c r="E33" s="847">
        <v>0.05299826296641291</v>
      </c>
      <c r="F33" s="848">
        <v>2.887</v>
      </c>
      <c r="G33" s="847">
        <v>0.018357555582408352</v>
      </c>
      <c r="H33" s="849"/>
      <c r="I33" s="847">
        <v>29.438852566678214</v>
      </c>
      <c r="J33" s="847">
        <v>18.357555582408352</v>
      </c>
      <c r="K33" s="853"/>
      <c r="L33" s="835"/>
      <c r="M33" s="853">
        <v>0.110304</v>
      </c>
      <c r="N33" s="853">
        <v>0.07987848</v>
      </c>
      <c r="O33" s="854">
        <v>0.08498996736</v>
      </c>
      <c r="P33" s="835"/>
      <c r="Q33" s="855">
        <v>29.899024746953934</v>
      </c>
      <c r="R33" s="855">
        <v>21.7707141727098</v>
      </c>
      <c r="S33" s="855">
        <v>6.6206929442341815</v>
      </c>
      <c r="T33" s="855">
        <v>15.464672066646298</v>
      </c>
      <c r="U33" s="835"/>
      <c r="V33" s="856">
        <v>38.20713543470731</v>
      </c>
      <c r="W33" s="856">
        <v>27.668333910633876</v>
      </c>
      <c r="X33" s="856">
        <v>29.438852566678214</v>
      </c>
      <c r="Y33" s="878"/>
      <c r="Z33" s="835"/>
      <c r="AA33" s="835"/>
      <c r="AB33" s="835"/>
      <c r="AC33" s="835"/>
      <c r="AD33" s="835"/>
      <c r="AE33" s="835"/>
      <c r="AF33" s="835"/>
      <c r="AG33" s="835"/>
      <c r="AH33" s="835"/>
      <c r="AI33" s="835"/>
      <c r="AJ33" s="835"/>
      <c r="AK33" s="835"/>
      <c r="AL33" s="835"/>
      <c r="AM33" s="835"/>
      <c r="AN33" s="835"/>
      <c r="AO33" s="835"/>
      <c r="AP33" s="835"/>
      <c r="AQ33" s="835"/>
      <c r="AR33" s="835"/>
      <c r="AS33" s="835"/>
      <c r="AT33" s="835"/>
      <c r="AU33" s="835"/>
      <c r="AV33" s="835"/>
      <c r="AW33" s="835"/>
      <c r="AX33" s="835"/>
      <c r="AY33" s="835"/>
      <c r="AZ33" s="835"/>
      <c r="BA33" s="835"/>
      <c r="BB33" s="835"/>
    </row>
    <row r="34" spans="1:54" ht="12.75">
      <c r="A34" s="835"/>
      <c r="B34" s="1008"/>
      <c r="C34" s="846" t="s">
        <v>159</v>
      </c>
      <c r="D34" s="846">
        <v>39508</v>
      </c>
      <c r="E34" s="847">
        <v>0.05737703074803409</v>
      </c>
      <c r="F34" s="848">
        <v>2.746</v>
      </c>
      <c r="G34" s="847">
        <v>0.020894767206130403</v>
      </c>
      <c r="H34" s="849"/>
      <c r="I34" s="847">
        <v>31.09450077203205</v>
      </c>
      <c r="J34" s="847">
        <v>20.894767206130403</v>
      </c>
      <c r="K34" s="853"/>
      <c r="L34" s="835"/>
      <c r="M34" s="853">
        <v>0.110304</v>
      </c>
      <c r="N34" s="853">
        <v>0.07987848</v>
      </c>
      <c r="O34" s="854">
        <v>0.08538549912</v>
      </c>
      <c r="P34" s="835"/>
      <c r="Q34" s="855">
        <v>43.406977631153154</v>
      </c>
      <c r="R34" s="855">
        <v>21.87078244936916</v>
      </c>
      <c r="S34" s="855">
        <v>7.135308362903219</v>
      </c>
      <c r="T34" s="855">
        <v>15.842323324351113</v>
      </c>
      <c r="U34" s="835"/>
      <c r="V34" s="856">
        <v>40.16897305171158</v>
      </c>
      <c r="W34" s="856">
        <v>29.089031318281137</v>
      </c>
      <c r="X34" s="856">
        <v>31.094500772032045</v>
      </c>
      <c r="Y34" s="878"/>
      <c r="Z34" s="835"/>
      <c r="AA34" s="835"/>
      <c r="AB34" s="835"/>
      <c r="AC34" s="835"/>
      <c r="AD34" s="835"/>
      <c r="AE34" s="835"/>
      <c r="AF34" s="835"/>
      <c r="AG34" s="835"/>
      <c r="AH34" s="835"/>
      <c r="AI34" s="835"/>
      <c r="AJ34" s="835"/>
      <c r="AK34" s="835"/>
      <c r="AL34" s="835"/>
      <c r="AM34" s="835"/>
      <c r="AN34" s="835"/>
      <c r="AO34" s="835"/>
      <c r="AP34" s="835"/>
      <c r="AQ34" s="835"/>
      <c r="AR34" s="835"/>
      <c r="AS34" s="835"/>
      <c r="AT34" s="835"/>
      <c r="AU34" s="835"/>
      <c r="AV34" s="835"/>
      <c r="AW34" s="835"/>
      <c r="AX34" s="835"/>
      <c r="AY34" s="835"/>
      <c r="AZ34" s="835"/>
      <c r="BA34" s="835"/>
      <c r="BB34" s="835"/>
    </row>
    <row r="35" spans="1:54" ht="12.75">
      <c r="A35" s="835"/>
      <c r="B35" s="1008"/>
      <c r="C35" s="846" t="s">
        <v>161</v>
      </c>
      <c r="D35" s="846"/>
      <c r="E35" s="847">
        <v>0.05959366066939271</v>
      </c>
      <c r="F35" s="848">
        <v>2.851</v>
      </c>
      <c r="G35" s="847">
        <v>0.020902722086774014</v>
      </c>
      <c r="H35" s="849"/>
      <c r="I35" s="847">
        <v>29.116926145212208</v>
      </c>
      <c r="J35" s="847">
        <v>20.902722086774013</v>
      </c>
      <c r="K35" s="853"/>
      <c r="L35" s="877"/>
      <c r="M35" s="853">
        <v>0.1080468</v>
      </c>
      <c r="N35" s="853">
        <v>0.07824389100000001</v>
      </c>
      <c r="O35" s="877">
        <v>0.08301235644</v>
      </c>
      <c r="P35" s="877"/>
      <c r="Q35" s="877">
        <v>32.20259927079546</v>
      </c>
      <c r="R35" s="877">
        <v>24.726108384240973</v>
      </c>
      <c r="S35" s="877">
        <v>8.693842555230196</v>
      </c>
      <c r="T35" s="877">
        <v>18.008775493540135</v>
      </c>
      <c r="U35" s="877"/>
      <c r="V35" s="877">
        <v>37.8978603998597</v>
      </c>
      <c r="W35" s="877">
        <v>27.44436723956507</v>
      </c>
      <c r="X35" s="877">
        <v>29.116926145212208</v>
      </c>
      <c r="Y35" s="877"/>
      <c r="Z35" s="877"/>
      <c r="AA35" s="835"/>
      <c r="AB35" s="835"/>
      <c r="AC35" s="835"/>
      <c r="AD35" s="835"/>
      <c r="AE35" s="835"/>
      <c r="AF35" s="835"/>
      <c r="AG35" s="835"/>
      <c r="AH35" s="835"/>
      <c r="AI35" s="835"/>
      <c r="AJ35" s="835"/>
      <c r="AK35" s="835"/>
      <c r="AL35" s="835"/>
      <c r="AM35" s="835"/>
      <c r="AN35" s="835"/>
      <c r="AO35" s="835"/>
      <c r="AP35" s="835"/>
      <c r="AQ35" s="835"/>
      <c r="AR35" s="835"/>
      <c r="AS35" s="835"/>
      <c r="AT35" s="835"/>
      <c r="AU35" s="835"/>
      <c r="AV35" s="835"/>
      <c r="AW35" s="835"/>
      <c r="AX35" s="835"/>
      <c r="AY35" s="835"/>
      <c r="AZ35" s="835"/>
      <c r="BA35" s="835"/>
      <c r="BB35" s="835"/>
    </row>
    <row r="36" spans="1:54" ht="12.75">
      <c r="A36" s="835"/>
      <c r="B36" s="1008"/>
      <c r="C36" s="846" t="s">
        <v>163</v>
      </c>
      <c r="D36" s="846">
        <v>39569</v>
      </c>
      <c r="E36" s="847">
        <v>0.1361700358496622</v>
      </c>
      <c r="F36" s="847">
        <v>2.845</v>
      </c>
      <c r="G36" s="847">
        <v>0.04786292999988126</v>
      </c>
      <c r="H36" s="847"/>
      <c r="I36" s="847">
        <v>31.930685843868687</v>
      </c>
      <c r="J36" s="847">
        <v>47.86292999988126</v>
      </c>
      <c r="K36" s="877"/>
      <c r="L36" s="877"/>
      <c r="M36" s="877">
        <v>0.11839162064516129</v>
      </c>
      <c r="N36" s="877">
        <v>0.0849991122580645</v>
      </c>
      <c r="O36" s="877">
        <v>0.09084280122580643</v>
      </c>
      <c r="P36" s="877"/>
      <c r="Q36" s="877">
        <v>56.115550730506335</v>
      </c>
      <c r="R36" s="877">
        <v>47.27847121160428</v>
      </c>
      <c r="S36" s="877">
        <v>43.76841420373809</v>
      </c>
      <c r="T36" s="877">
        <v>45.813329945002664</v>
      </c>
      <c r="U36" s="877"/>
      <c r="V36" s="877">
        <v>41.61392641306196</v>
      </c>
      <c r="W36" s="877">
        <v>29.87666511707012</v>
      </c>
      <c r="X36" s="877">
        <v>31.93068584386869</v>
      </c>
      <c r="Y36" s="835"/>
      <c r="Z36" s="835"/>
      <c r="AA36" s="835"/>
      <c r="AB36" s="835"/>
      <c r="AC36" s="835"/>
      <c r="AD36" s="835"/>
      <c r="AE36" s="835"/>
      <c r="AF36" s="835"/>
      <c r="AG36" s="835"/>
      <c r="AH36" s="835"/>
      <c r="AI36" s="835"/>
      <c r="AJ36" s="835"/>
      <c r="AK36" s="835"/>
      <c r="AL36" s="835"/>
      <c r="AM36" s="835"/>
      <c r="AN36" s="835"/>
      <c r="AO36" s="835"/>
      <c r="AP36" s="835"/>
      <c r="AQ36" s="835"/>
      <c r="AR36" s="835"/>
      <c r="AS36" s="835"/>
      <c r="AT36" s="835"/>
      <c r="AU36" s="835"/>
      <c r="AV36" s="835"/>
      <c r="AW36" s="835"/>
      <c r="AX36" s="835"/>
      <c r="AY36" s="835"/>
      <c r="AZ36" s="835"/>
      <c r="BA36" s="835"/>
      <c r="BB36" s="835"/>
    </row>
    <row r="37" spans="1:54" ht="12.75">
      <c r="A37" s="835"/>
      <c r="B37" s="1008"/>
      <c r="C37" s="846" t="s">
        <v>164</v>
      </c>
      <c r="D37" s="846"/>
      <c r="E37" s="850">
        <v>0.4580133602034182</v>
      </c>
      <c r="F37" s="850">
        <v>2.967</v>
      </c>
      <c r="G37" s="850">
        <v>0.15436918105946013</v>
      </c>
      <c r="H37" s="850"/>
      <c r="I37" s="850">
        <v>32.01472185642062</v>
      </c>
      <c r="J37" s="850">
        <v>154.36918105946012</v>
      </c>
      <c r="K37" s="872"/>
      <c r="L37" s="872"/>
      <c r="M37" s="872">
        <v>0.12248612999999998</v>
      </c>
      <c r="N37" s="872">
        <v>0.089195028</v>
      </c>
      <c r="O37" s="872">
        <v>0.09498767974799999</v>
      </c>
      <c r="P37" s="872"/>
      <c r="Q37" s="872">
        <v>176.42934408531977</v>
      </c>
      <c r="R37" s="872">
        <v>159.14273826981474</v>
      </c>
      <c r="S37" s="872">
        <v>134.59165614310615</v>
      </c>
      <c r="T37" s="872">
        <v>148.94599360955212</v>
      </c>
      <c r="U37" s="872"/>
      <c r="V37" s="872">
        <v>41.28282103134479</v>
      </c>
      <c r="W37" s="872">
        <v>30.062361981799796</v>
      </c>
      <c r="X37" s="872">
        <v>32.01472185642062</v>
      </c>
      <c r="Y37" s="878">
        <v>345</v>
      </c>
      <c r="Z37" s="835"/>
      <c r="AA37" s="835"/>
      <c r="AB37" s="835"/>
      <c r="AC37" s="835"/>
      <c r="AD37" s="835"/>
      <c r="AE37" s="835"/>
      <c r="AF37" s="835"/>
      <c r="AG37" s="835"/>
      <c r="AH37" s="835"/>
      <c r="AI37" s="835"/>
      <c r="AJ37" s="835"/>
      <c r="AK37" s="835"/>
      <c r="AL37" s="835"/>
      <c r="AM37" s="835"/>
      <c r="AN37" s="835"/>
      <c r="AO37" s="835"/>
      <c r="AP37" s="835"/>
      <c r="AQ37" s="835"/>
      <c r="AR37" s="835"/>
      <c r="AS37" s="835"/>
      <c r="AT37" s="835"/>
      <c r="AU37" s="835"/>
      <c r="AV37" s="835"/>
      <c r="AW37" s="835"/>
      <c r="AX37" s="835"/>
      <c r="AY37" s="835"/>
      <c r="AZ37" s="835"/>
      <c r="BA37" s="835"/>
      <c r="BB37" s="835"/>
    </row>
    <row r="38" spans="1:54" ht="12.75">
      <c r="A38" s="835"/>
      <c r="B38" s="1008"/>
      <c r="C38" s="846" t="s">
        <v>165</v>
      </c>
      <c r="D38" s="846">
        <v>39630</v>
      </c>
      <c r="E38" s="850">
        <v>0.6644427053066985</v>
      </c>
      <c r="F38" s="850">
        <v>2.816</v>
      </c>
      <c r="G38" s="850">
        <v>0.23595266523675373</v>
      </c>
      <c r="H38" s="850"/>
      <c r="I38" s="850">
        <v>35.746655723286295</v>
      </c>
      <c r="J38" s="850">
        <v>235.95266523675375</v>
      </c>
      <c r="K38" s="885"/>
      <c r="L38" s="885"/>
      <c r="M38" s="885">
        <v>0.13039800967741932</v>
      </c>
      <c r="N38" s="885">
        <v>0.09495649935483871</v>
      </c>
      <c r="O38" s="885">
        <v>0.1006625825167742</v>
      </c>
      <c r="P38" s="885"/>
      <c r="Q38" s="885">
        <v>254.71948740343865</v>
      </c>
      <c r="R38" s="885">
        <v>242.77697874845575</v>
      </c>
      <c r="S38" s="885">
        <v>215.3671271165645</v>
      </c>
      <c r="T38" s="885">
        <v>231.4746045600289</v>
      </c>
      <c r="U38" s="885"/>
      <c r="V38" s="885">
        <v>46.30611139112902</v>
      </c>
      <c r="W38" s="885">
        <v>33.72034778225807</v>
      </c>
      <c r="X38" s="885">
        <v>35.746655723286295</v>
      </c>
      <c r="Y38" s="878">
        <v>345</v>
      </c>
      <c r="Z38" s="835"/>
      <c r="AA38" s="835"/>
      <c r="AB38" s="835"/>
      <c r="AC38" s="835"/>
      <c r="AD38" s="835"/>
      <c r="AE38" s="835"/>
      <c r="AF38" s="835"/>
      <c r="AG38" s="835"/>
      <c r="AH38" s="835"/>
      <c r="AI38" s="835"/>
      <c r="AJ38" s="835"/>
      <c r="AK38" s="835"/>
      <c r="AL38" s="835"/>
      <c r="AM38" s="835"/>
      <c r="AN38" s="835"/>
      <c r="AO38" s="835"/>
      <c r="AP38" s="835"/>
      <c r="AQ38" s="835"/>
      <c r="AR38" s="835"/>
      <c r="AS38" s="835"/>
      <c r="AT38" s="835"/>
      <c r="AU38" s="835"/>
      <c r="AV38" s="835"/>
      <c r="AW38" s="835"/>
      <c r="AX38" s="835"/>
      <c r="AY38" s="835"/>
      <c r="AZ38" s="835"/>
      <c r="BA38" s="835"/>
      <c r="BB38" s="835"/>
    </row>
    <row r="39" spans="1:54" ht="12.75">
      <c r="A39" s="835"/>
      <c r="B39" s="1008"/>
      <c r="C39" s="846" t="s">
        <v>166</v>
      </c>
      <c r="D39" s="846"/>
      <c r="E39" s="850">
        <v>0.5778601044682826</v>
      </c>
      <c r="F39" s="850">
        <v>2.953</v>
      </c>
      <c r="G39" s="850">
        <v>0.19568577868888679</v>
      </c>
      <c r="H39" s="850"/>
      <c r="I39" s="850">
        <v>33.60951316867483</v>
      </c>
      <c r="J39" s="850">
        <v>195.68577868888678</v>
      </c>
      <c r="K39" s="872"/>
      <c r="L39" s="872"/>
      <c r="M39" s="872">
        <v>0.12793610322580645</v>
      </c>
      <c r="N39" s="872">
        <v>0.0931637264516129</v>
      </c>
      <c r="O39" s="872">
        <v>0.09924889238709678</v>
      </c>
      <c r="P39" s="872"/>
      <c r="Q39" s="872">
        <v>219.37203257015645</v>
      </c>
      <c r="R39" s="872">
        <v>195.87030518411188</v>
      </c>
      <c r="S39" s="872">
        <v>181.8999180232581</v>
      </c>
      <c r="T39" s="872">
        <v>190.12208584275274</v>
      </c>
      <c r="U39" s="872"/>
      <c r="V39" s="872">
        <v>43.324112165867405</v>
      </c>
      <c r="W39" s="872">
        <v>31.54884065411883</v>
      </c>
      <c r="X39" s="872">
        <v>33.60951316867483</v>
      </c>
      <c r="Y39" s="878">
        <v>345</v>
      </c>
      <c r="Z39" s="835"/>
      <c r="AA39" s="835"/>
      <c r="AB39" s="835"/>
      <c r="AC39" s="835"/>
      <c r="AD39" s="835"/>
      <c r="AE39" s="835"/>
      <c r="AF39" s="835"/>
      <c r="AG39" s="835"/>
      <c r="AH39" s="835"/>
      <c r="AI39" s="835"/>
      <c r="AJ39" s="835"/>
      <c r="AK39" s="835"/>
      <c r="AL39" s="835"/>
      <c r="AM39" s="835"/>
      <c r="AN39" s="835"/>
      <c r="AO39" s="835"/>
      <c r="AP39" s="835"/>
      <c r="AQ39" s="835"/>
      <c r="AR39" s="835"/>
      <c r="AS39" s="835"/>
      <c r="AT39" s="835"/>
      <c r="AU39" s="835"/>
      <c r="AV39" s="835"/>
      <c r="AW39" s="835"/>
      <c r="AX39" s="835"/>
      <c r="AY39" s="835"/>
      <c r="AZ39" s="835"/>
      <c r="BA39" s="835"/>
      <c r="BB39" s="835"/>
    </row>
    <row r="40" spans="1:54" ht="12.75">
      <c r="A40" s="835"/>
      <c r="B40" s="1008"/>
      <c r="C40" s="846" t="s">
        <v>167</v>
      </c>
      <c r="D40" s="846">
        <v>39692</v>
      </c>
      <c r="E40" s="850">
        <v>0.5513644490306141</v>
      </c>
      <c r="F40" s="850">
        <v>2.977</v>
      </c>
      <c r="G40" s="850">
        <v>0.185208078276995</v>
      </c>
      <c r="H40" s="850"/>
      <c r="I40" s="850">
        <v>36.17518619213973</v>
      </c>
      <c r="J40" s="850">
        <v>185.208078276995</v>
      </c>
      <c r="K40" s="872"/>
      <c r="L40" s="872"/>
      <c r="M40" s="872">
        <v>0.14207348999999997</v>
      </c>
      <c r="N40" s="872">
        <v>0.100095516</v>
      </c>
      <c r="O40" s="872">
        <v>0.10769352929399999</v>
      </c>
      <c r="P40" s="872"/>
      <c r="Q40" s="872">
        <v>193.56685691364774</v>
      </c>
      <c r="R40" s="872">
        <v>194.57415305578004</v>
      </c>
      <c r="S40" s="872">
        <v>167.0565877095285</v>
      </c>
      <c r="T40" s="872">
        <v>183.06960867729524</v>
      </c>
      <c r="U40" s="872"/>
      <c r="V40" s="872">
        <v>47.723711790393004</v>
      </c>
      <c r="W40" s="872">
        <v>33.62294793416191</v>
      </c>
      <c r="X40" s="872">
        <v>36.17518619213973</v>
      </c>
      <c r="Y40" s="878">
        <v>345</v>
      </c>
      <c r="Z40" s="835"/>
      <c r="AA40" s="835"/>
      <c r="AB40" s="835"/>
      <c r="AC40" s="835"/>
      <c r="AD40" s="835"/>
      <c r="AE40" s="835"/>
      <c r="AF40" s="835"/>
      <c r="AG40" s="835"/>
      <c r="AH40" s="835"/>
      <c r="AI40" s="835"/>
      <c r="AJ40" s="835"/>
      <c r="AK40" s="835"/>
      <c r="AL40" s="835"/>
      <c r="AM40" s="835"/>
      <c r="AN40" s="835"/>
      <c r="AO40" s="835"/>
      <c r="AP40" s="835"/>
      <c r="AQ40" s="835"/>
      <c r="AR40" s="835"/>
      <c r="AS40" s="835"/>
      <c r="AT40" s="835"/>
      <c r="AU40" s="835"/>
      <c r="AV40" s="835"/>
      <c r="AW40" s="835"/>
      <c r="AX40" s="835"/>
      <c r="AY40" s="835"/>
      <c r="AZ40" s="835"/>
      <c r="BA40" s="835"/>
      <c r="BB40" s="835"/>
    </row>
    <row r="41" spans="1:54" ht="12.75">
      <c r="A41" s="835"/>
      <c r="B41" s="1008"/>
      <c r="C41" s="846" t="s">
        <v>168</v>
      </c>
      <c r="D41" s="846"/>
      <c r="E41" s="847">
        <v>0.1957606659357658</v>
      </c>
      <c r="F41" s="847">
        <v>3.09</v>
      </c>
      <c r="G41" s="847">
        <v>0.0633529663222543</v>
      </c>
      <c r="H41" s="847"/>
      <c r="I41" s="847">
        <v>34.78443786407766</v>
      </c>
      <c r="J41" s="847">
        <v>63.352966322254304</v>
      </c>
      <c r="K41" s="877"/>
      <c r="L41" s="877"/>
      <c r="M41" s="877">
        <v>0.1385514</v>
      </c>
      <c r="N41" s="877">
        <v>0.10089383999999998</v>
      </c>
      <c r="O41" s="877">
        <v>0.10748391299999997</v>
      </c>
      <c r="P41" s="877"/>
      <c r="Q41" s="877">
        <v>78.72141480217225</v>
      </c>
      <c r="R41" s="877">
        <v>67.97954566802271</v>
      </c>
      <c r="S41" s="877">
        <v>47.76993537310148</v>
      </c>
      <c r="T41" s="877">
        <v>59.57698621025235</v>
      </c>
      <c r="U41" s="877"/>
      <c r="V41" s="877">
        <v>44.83864077669903</v>
      </c>
      <c r="W41" s="877">
        <v>32.6517281553398</v>
      </c>
      <c r="X41" s="877">
        <v>34.78443786407767</v>
      </c>
      <c r="Y41" s="878">
        <v>345</v>
      </c>
      <c r="Z41" s="835"/>
      <c r="AA41" s="835"/>
      <c r="AB41" s="835"/>
      <c r="AC41" s="835"/>
      <c r="AD41" s="835"/>
      <c r="AE41" s="835"/>
      <c r="AF41" s="835"/>
      <c r="AG41" s="835"/>
      <c r="AH41" s="835"/>
      <c r="AI41" s="835"/>
      <c r="AJ41" s="835"/>
      <c r="AK41" s="835"/>
      <c r="AL41" s="835"/>
      <c r="AM41" s="835"/>
      <c r="AN41" s="835"/>
      <c r="AO41" s="835"/>
      <c r="AP41" s="835"/>
      <c r="AQ41" s="835"/>
      <c r="AR41" s="835"/>
      <c r="AS41" s="835"/>
      <c r="AT41" s="835"/>
      <c r="AU41" s="835"/>
      <c r="AV41" s="835"/>
      <c r="AW41" s="835"/>
      <c r="AX41" s="835"/>
      <c r="AY41" s="835"/>
      <c r="AZ41" s="835"/>
      <c r="BA41" s="835"/>
      <c r="BB41" s="835"/>
    </row>
    <row r="42" spans="1:54" ht="12.75">
      <c r="A42" s="835"/>
      <c r="B42" s="1008"/>
      <c r="C42" s="846" t="s">
        <v>169</v>
      </c>
      <c r="D42" s="846">
        <v>39753</v>
      </c>
      <c r="E42" s="850">
        <v>0.18790140191692947</v>
      </c>
      <c r="F42" s="850">
        <v>3.096</v>
      </c>
      <c r="G42" s="850">
        <v>0.060691667285829934</v>
      </c>
      <c r="H42" s="850"/>
      <c r="I42" s="850">
        <v>34.70486286821705</v>
      </c>
      <c r="J42" s="850">
        <v>60.691667285829936</v>
      </c>
      <c r="K42" s="872"/>
      <c r="L42" s="872"/>
      <c r="M42" s="872">
        <v>0.1385514</v>
      </c>
      <c r="N42" s="872">
        <v>0.10089383999999998</v>
      </c>
      <c r="O42" s="872">
        <v>0.10744625543999999</v>
      </c>
      <c r="P42" s="872"/>
      <c r="Q42" s="872">
        <v>276.0750863044336</v>
      </c>
      <c r="R42" s="872">
        <v>173.8343609752648</v>
      </c>
      <c r="S42" s="872">
        <v>157.6399299904539</v>
      </c>
      <c r="T42" s="872">
        <v>167.1533732480311</v>
      </c>
      <c r="U42" s="872"/>
      <c r="V42" s="872">
        <v>44.75174418604651</v>
      </c>
      <c r="W42" s="872">
        <v>32.58844961240309</v>
      </c>
      <c r="X42" s="872">
        <v>34.70486286821705</v>
      </c>
      <c r="Y42" s="878"/>
      <c r="Z42" s="835"/>
      <c r="AA42" s="835"/>
      <c r="AB42" s="835"/>
      <c r="AC42" s="835"/>
      <c r="AD42" s="835"/>
      <c r="AE42" s="835"/>
      <c r="AF42" s="835"/>
      <c r="AG42" s="835"/>
      <c r="AH42" s="835"/>
      <c r="AI42" s="835"/>
      <c r="AJ42" s="835"/>
      <c r="AK42" s="835"/>
      <c r="AL42" s="835"/>
      <c r="AM42" s="835"/>
      <c r="AN42" s="835"/>
      <c r="AO42" s="835"/>
      <c r="AP42" s="835"/>
      <c r="AQ42" s="835"/>
      <c r="AR42" s="835"/>
      <c r="AS42" s="835"/>
      <c r="AT42" s="835"/>
      <c r="AU42" s="835"/>
      <c r="AV42" s="835"/>
      <c r="AW42" s="835"/>
      <c r="AX42" s="835"/>
      <c r="AY42" s="835"/>
      <c r="AZ42" s="835"/>
      <c r="BA42" s="835"/>
      <c r="BB42" s="835"/>
    </row>
    <row r="43" spans="1:54" ht="13.5" thickBot="1">
      <c r="A43" s="835"/>
      <c r="B43" s="1009"/>
      <c r="C43" s="870" t="s">
        <v>170</v>
      </c>
      <c r="D43" s="870"/>
      <c r="E43" s="871">
        <v>0.2569582119612439</v>
      </c>
      <c r="F43" s="871">
        <v>3.142</v>
      </c>
      <c r="G43" s="871">
        <v>0.08178173518817439</v>
      </c>
      <c r="H43" s="871"/>
      <c r="I43" s="871">
        <v>31.275602291534053</v>
      </c>
      <c r="J43" s="871">
        <v>81.78173518817438</v>
      </c>
      <c r="K43" s="872"/>
      <c r="L43" s="872"/>
      <c r="M43" s="872">
        <v>0.127296</v>
      </c>
      <c r="N43" s="872">
        <v>0.09269759999999999</v>
      </c>
      <c r="O43" s="872">
        <v>0.09826794239999999</v>
      </c>
      <c r="P43" s="872"/>
      <c r="Q43" s="872">
        <v>106.84436132618194</v>
      </c>
      <c r="R43" s="872">
        <v>77.6534615222993</v>
      </c>
      <c r="S43" s="872">
        <v>73.1183301757118</v>
      </c>
      <c r="T43" s="872">
        <v>75.78605189226482</v>
      </c>
      <c r="U43" s="872"/>
      <c r="V43" s="872">
        <v>40.51432208784213</v>
      </c>
      <c r="W43" s="872">
        <v>29.50273711012094</v>
      </c>
      <c r="X43" s="872">
        <v>31.275602291534053</v>
      </c>
      <c r="Y43" s="878">
        <v>279</v>
      </c>
      <c r="Z43" s="835"/>
      <c r="AA43" s="835"/>
      <c r="AB43" s="835"/>
      <c r="AC43" s="835"/>
      <c r="AD43" s="835"/>
      <c r="AE43" s="835"/>
      <c r="AF43" s="835"/>
      <c r="AG43" s="835"/>
      <c r="AH43" s="835"/>
      <c r="AI43" s="835"/>
      <c r="AJ43" s="835"/>
      <c r="AK43" s="835"/>
      <c r="AL43" s="835"/>
      <c r="AM43" s="835"/>
      <c r="AN43" s="835"/>
      <c r="AO43" s="835"/>
      <c r="AP43" s="835"/>
      <c r="AQ43" s="835"/>
      <c r="AR43" s="835"/>
      <c r="AS43" s="835"/>
      <c r="AT43" s="835"/>
      <c r="AU43" s="835"/>
      <c r="AV43" s="835"/>
      <c r="AW43" s="835"/>
      <c r="AX43" s="835"/>
      <c r="AY43" s="835"/>
      <c r="AZ43" s="835"/>
      <c r="BA43" s="835"/>
      <c r="BB43" s="835"/>
    </row>
    <row r="44" spans="1:54" ht="12.75">
      <c r="A44" s="835"/>
      <c r="B44" s="1007">
        <v>2009</v>
      </c>
      <c r="C44" s="875" t="s">
        <v>150</v>
      </c>
      <c r="D44" s="875">
        <v>39814</v>
      </c>
      <c r="E44" s="876">
        <v>0.09321831149435178</v>
      </c>
      <c r="F44" s="876">
        <v>3.174</v>
      </c>
      <c r="G44" s="876">
        <v>0.029369348296897222</v>
      </c>
      <c r="H44" s="876"/>
      <c r="I44" s="876">
        <v>31.036588279773156</v>
      </c>
      <c r="J44" s="876">
        <v>29.369348296897222</v>
      </c>
      <c r="K44" s="872"/>
      <c r="L44" s="872"/>
      <c r="M44" s="872">
        <v>0.127296</v>
      </c>
      <c r="N44" s="872">
        <v>0.09269759999999999</v>
      </c>
      <c r="O44" s="872">
        <v>0.09851013119999999</v>
      </c>
      <c r="P44" s="872"/>
      <c r="Q44" s="872">
        <v>65.34930129327087</v>
      </c>
      <c r="R44" s="872">
        <v>32.05699127764555</v>
      </c>
      <c r="S44" s="872">
        <v>4.219396777468761</v>
      </c>
      <c r="T44" s="872">
        <v>20.563040643270416</v>
      </c>
      <c r="U44" s="872"/>
      <c r="V44" s="872">
        <v>40.10586011342155</v>
      </c>
      <c r="W44" s="872">
        <v>29.205293005671074</v>
      </c>
      <c r="X44" s="872">
        <v>31.036588279773152</v>
      </c>
      <c r="Y44" s="878"/>
      <c r="Z44" s="835"/>
      <c r="AA44" s="835"/>
      <c r="AB44" s="835"/>
      <c r="AC44" s="835"/>
      <c r="AD44" s="835"/>
      <c r="AE44" s="835"/>
      <c r="AF44" s="835"/>
      <c r="AG44" s="835"/>
      <c r="AH44" s="835"/>
      <c r="AI44" s="835"/>
      <c r="AJ44" s="835"/>
      <c r="AK44" s="835"/>
      <c r="AL44" s="835"/>
      <c r="AM44" s="835"/>
      <c r="AN44" s="835"/>
      <c r="AO44" s="835"/>
      <c r="AP44" s="835"/>
      <c r="AQ44" s="835"/>
      <c r="AR44" s="835"/>
      <c r="AS44" s="835"/>
      <c r="AT44" s="835"/>
      <c r="AU44" s="835"/>
      <c r="AV44" s="835"/>
      <c r="AW44" s="835"/>
      <c r="AX44" s="835"/>
      <c r="AY44" s="835"/>
      <c r="AZ44" s="835"/>
      <c r="BA44" s="835"/>
      <c r="BB44" s="835"/>
    </row>
    <row r="45" spans="1:54" ht="12.75">
      <c r="A45" s="835"/>
      <c r="B45" s="1008"/>
      <c r="C45" s="846" t="s">
        <v>155</v>
      </c>
      <c r="D45" s="846"/>
      <c r="E45" s="850">
        <v>0.14231726236619124</v>
      </c>
      <c r="F45" s="850">
        <v>3.251</v>
      </c>
      <c r="G45" s="850">
        <v>0.043776457202765684</v>
      </c>
      <c r="H45" s="850"/>
      <c r="I45" s="850">
        <v>30.418552322362345</v>
      </c>
      <c r="J45" s="850">
        <v>43.776457202765684</v>
      </c>
      <c r="K45" s="872"/>
      <c r="L45" s="872"/>
      <c r="M45" s="872">
        <v>0.127296</v>
      </c>
      <c r="N45" s="872">
        <v>0.09269759999999999</v>
      </c>
      <c r="O45" s="872">
        <v>0.09889071359999999</v>
      </c>
      <c r="P45" s="872"/>
      <c r="Q45" s="872">
        <v>73.57023426414848</v>
      </c>
      <c r="R45" s="872">
        <v>58.859415427246034</v>
      </c>
      <c r="S45" s="872">
        <v>4.357176150761024</v>
      </c>
      <c r="T45" s="872">
        <v>36.38666181411856</v>
      </c>
      <c r="U45" s="872"/>
      <c r="V45" s="872">
        <v>39.15595201476469</v>
      </c>
      <c r="W45" s="872">
        <v>28.513565056905566</v>
      </c>
      <c r="X45" s="878">
        <v>30.418552322362345</v>
      </c>
      <c r="Y45" s="835"/>
      <c r="Z45" s="835"/>
      <c r="AA45" s="835"/>
      <c r="AB45" s="835"/>
      <c r="AC45" s="835"/>
      <c r="AD45" s="835"/>
      <c r="AE45" s="835"/>
      <c r="AF45" s="835"/>
      <c r="AG45" s="835"/>
      <c r="AH45" s="835"/>
      <c r="AI45" s="835"/>
      <c r="AJ45" s="835"/>
      <c r="AK45" s="835"/>
      <c r="AL45" s="835"/>
      <c r="AM45" s="835"/>
      <c r="AN45" s="835"/>
      <c r="AO45" s="835"/>
      <c r="AP45" s="835"/>
      <c r="AQ45" s="835"/>
      <c r="AR45" s="835"/>
      <c r="AS45" s="835"/>
      <c r="AT45" s="835"/>
      <c r="AU45" s="835"/>
      <c r="AV45" s="835"/>
      <c r="AW45" s="835"/>
      <c r="AX45" s="835"/>
      <c r="AY45" s="835"/>
      <c r="AZ45" s="835"/>
      <c r="BA45" s="835"/>
      <c r="BB45" s="835"/>
    </row>
    <row r="46" spans="1:54" ht="12.75">
      <c r="A46" s="835"/>
      <c r="B46" s="1008"/>
      <c r="C46" s="846" t="s">
        <v>159</v>
      </c>
      <c r="D46" s="846">
        <v>39873</v>
      </c>
      <c r="E46" s="850">
        <v>0.07858838724077646</v>
      </c>
      <c r="F46" s="850">
        <v>3.161</v>
      </c>
      <c r="G46" s="850">
        <v>0.024861875115715425</v>
      </c>
      <c r="H46" s="850"/>
      <c r="I46" s="850">
        <v>33.13100124378769</v>
      </c>
      <c r="J46" s="850">
        <v>24.861875115715424</v>
      </c>
      <c r="K46" s="872"/>
      <c r="L46" s="872"/>
      <c r="M46" s="872">
        <v>0.13471455483870964</v>
      </c>
      <c r="N46" s="872">
        <v>0.09809982967741934</v>
      </c>
      <c r="O46" s="872">
        <v>0.10472709493161289</v>
      </c>
      <c r="P46" s="872"/>
      <c r="Q46" s="872">
        <v>51.07582127449828</v>
      </c>
      <c r="R46" s="872">
        <v>29.729496319089264</v>
      </c>
      <c r="S46" s="872">
        <v>2.3241601381574513</v>
      </c>
      <c r="T46" s="872">
        <v>18.455261305779718</v>
      </c>
      <c r="U46" s="872"/>
      <c r="V46" s="872">
        <v>42.61770162565949</v>
      </c>
      <c r="W46" s="872">
        <v>31.03442887612127</v>
      </c>
      <c r="X46" s="878">
        <v>33.13100124378769</v>
      </c>
      <c r="Y46" s="835"/>
      <c r="Z46" s="835"/>
      <c r="AA46" s="835"/>
      <c r="AB46" s="835"/>
      <c r="AC46" s="835"/>
      <c r="AD46" s="835"/>
      <c r="AE46" s="835"/>
      <c r="AF46" s="835"/>
      <c r="AG46" s="835"/>
      <c r="AH46" s="835"/>
      <c r="AI46" s="835"/>
      <c r="AJ46" s="835"/>
      <c r="AK46" s="835"/>
      <c r="AL46" s="835"/>
      <c r="AM46" s="835"/>
      <c r="AN46" s="835"/>
      <c r="AO46" s="835"/>
      <c r="AP46" s="835"/>
      <c r="AQ46" s="835"/>
      <c r="AR46" s="835"/>
      <c r="AS46" s="835"/>
      <c r="AT46" s="835"/>
      <c r="AU46" s="835"/>
      <c r="AV46" s="835"/>
      <c r="AW46" s="835"/>
      <c r="AX46" s="835"/>
      <c r="AY46" s="835"/>
      <c r="AZ46" s="835"/>
      <c r="BA46" s="835"/>
      <c r="BB46" s="835"/>
    </row>
    <row r="47" spans="1:54" ht="12.75">
      <c r="A47" s="835"/>
      <c r="B47" s="1008"/>
      <c r="C47" s="846" t="s">
        <v>161</v>
      </c>
      <c r="D47" s="846"/>
      <c r="E47" s="850">
        <v>0.0758169539722638</v>
      </c>
      <c r="F47" s="850">
        <v>2.995</v>
      </c>
      <c r="G47" s="850">
        <v>0.025314508838819298</v>
      </c>
      <c r="H47" s="850"/>
      <c r="I47" s="850">
        <v>34.91537949916526</v>
      </c>
      <c r="J47" s="850">
        <v>25.314508838819297</v>
      </c>
      <c r="K47" s="872"/>
      <c r="L47" s="872"/>
      <c r="M47" s="872">
        <v>0.13550939999999997</v>
      </c>
      <c r="N47" s="872">
        <v>0.09867863999999998</v>
      </c>
      <c r="O47" s="872">
        <v>0.10457156159999997</v>
      </c>
      <c r="P47" s="872"/>
      <c r="Q47" s="872">
        <v>55.31471669029877</v>
      </c>
      <c r="R47" s="872">
        <v>28.305285142139958</v>
      </c>
      <c r="S47" s="872">
        <v>3.812306131652766</v>
      </c>
      <c r="T47" s="872">
        <v>18.29686721653354</v>
      </c>
      <c r="U47" s="872"/>
      <c r="V47" s="872">
        <v>45.24520868113521</v>
      </c>
      <c r="W47" s="872">
        <v>32.94779298831385</v>
      </c>
      <c r="X47" s="872">
        <v>34.91537949916527</v>
      </c>
      <c r="Y47" s="878"/>
      <c r="Z47" s="835"/>
      <c r="AA47" s="835"/>
      <c r="AB47" s="835"/>
      <c r="AC47" s="835"/>
      <c r="AD47" s="835"/>
      <c r="AE47" s="835"/>
      <c r="AF47" s="835"/>
      <c r="AG47" s="835"/>
      <c r="AH47" s="835"/>
      <c r="AI47" s="835"/>
      <c r="AJ47" s="835"/>
      <c r="AK47" s="835"/>
      <c r="AL47" s="835"/>
      <c r="AM47" s="835"/>
      <c r="AN47" s="835"/>
      <c r="AO47" s="835"/>
      <c r="AP47" s="835"/>
      <c r="AQ47" s="835"/>
      <c r="AR47" s="835"/>
      <c r="AS47" s="835"/>
      <c r="AT47" s="835"/>
      <c r="AU47" s="835"/>
      <c r="AV47" s="835"/>
      <c r="AW47" s="835"/>
      <c r="AX47" s="835"/>
      <c r="AY47" s="835"/>
      <c r="AZ47" s="835"/>
      <c r="BA47" s="835"/>
      <c r="BB47" s="835"/>
    </row>
    <row r="48" spans="1:54" ht="12.75">
      <c r="A48" s="835"/>
      <c r="B48" s="1008"/>
      <c r="C48" s="846" t="s">
        <v>163</v>
      </c>
      <c r="D48" s="846">
        <v>39934</v>
      </c>
      <c r="E48" s="847">
        <v>0.085870631379132</v>
      </c>
      <c r="F48" s="848">
        <v>2.995</v>
      </c>
      <c r="G48" s="847">
        <v>0.028671329341947247</v>
      </c>
      <c r="H48" s="849"/>
      <c r="I48" s="847">
        <v>32.33561311863859</v>
      </c>
      <c r="J48" s="847">
        <v>28.671329341947246</v>
      </c>
      <c r="K48" s="853"/>
      <c r="L48" s="835"/>
      <c r="M48" s="853">
        <v>0.11153225806451614</v>
      </c>
      <c r="N48" s="853">
        <v>0.09313548387096773</v>
      </c>
      <c r="O48" s="854">
        <v>0.09684516129032258</v>
      </c>
      <c r="P48" s="835"/>
      <c r="Q48" s="855">
        <v>57.54399007635323</v>
      </c>
      <c r="R48" s="855">
        <v>29.992703181993807</v>
      </c>
      <c r="S48" s="855">
        <v>10.250499853082212</v>
      </c>
      <c r="T48" s="855">
        <v>21.857883418349726</v>
      </c>
      <c r="U48" s="835"/>
      <c r="V48" s="856">
        <v>37.239485163444456</v>
      </c>
      <c r="W48" s="856">
        <v>31.096989606333132</v>
      </c>
      <c r="X48" s="856">
        <v>32.33561311863859</v>
      </c>
      <c r="Y48" s="878"/>
      <c r="Z48" s="835"/>
      <c r="AA48" s="835"/>
      <c r="AB48" s="835"/>
      <c r="AC48" s="835"/>
      <c r="AD48" s="835"/>
      <c r="AE48" s="835"/>
      <c r="AF48" s="835"/>
      <c r="AG48" s="835"/>
      <c r="AH48" s="835"/>
      <c r="AI48" s="835"/>
      <c r="AJ48" s="835"/>
      <c r="AK48" s="835"/>
      <c r="AL48" s="835"/>
      <c r="AM48" s="835"/>
      <c r="AN48" s="835"/>
      <c r="AO48" s="835"/>
      <c r="AP48" s="835"/>
      <c r="AQ48" s="835"/>
      <c r="AR48" s="835"/>
      <c r="AS48" s="835"/>
      <c r="AT48" s="835"/>
      <c r="AU48" s="835"/>
      <c r="AV48" s="835"/>
      <c r="AW48" s="835"/>
      <c r="AX48" s="835"/>
      <c r="AY48" s="835"/>
      <c r="AZ48" s="835"/>
      <c r="BA48" s="835"/>
      <c r="BB48" s="835"/>
    </row>
    <row r="49" spans="1:54" ht="12.75">
      <c r="A49" s="835"/>
      <c r="B49" s="1008"/>
      <c r="C49" s="846" t="s">
        <v>164</v>
      </c>
      <c r="D49" s="846"/>
      <c r="E49" s="847">
        <v>0.19783514791323623</v>
      </c>
      <c r="F49" s="848">
        <v>3.011</v>
      </c>
      <c r="G49" s="847">
        <v>0.06570413414587718</v>
      </c>
      <c r="H49" s="849"/>
      <c r="I49" s="847">
        <v>32.015941547658585</v>
      </c>
      <c r="J49" s="847">
        <v>65.70413414587718</v>
      </c>
      <c r="K49" s="853"/>
      <c r="L49" s="835"/>
      <c r="M49" s="853">
        <v>0.111</v>
      </c>
      <c r="N49" s="853">
        <v>0.0926</v>
      </c>
      <c r="O49" s="854">
        <v>0.0964</v>
      </c>
      <c r="P49" s="835"/>
      <c r="Q49" s="855">
        <v>81.50276558149227</v>
      </c>
      <c r="R49" s="855">
        <v>67.08788952109262</v>
      </c>
      <c r="S49" s="855">
        <v>57.14924203328795</v>
      </c>
      <c r="T49" s="855">
        <v>63.01111388394694</v>
      </c>
      <c r="U49" s="835"/>
      <c r="V49" s="856">
        <v>36.86482896047825</v>
      </c>
      <c r="W49" s="856">
        <v>30.753902358020593</v>
      </c>
      <c r="X49" s="856">
        <v>32.015941547658585</v>
      </c>
      <c r="Y49" s="878"/>
      <c r="Z49" s="835"/>
      <c r="AA49" s="835"/>
      <c r="AB49" s="835"/>
      <c r="AC49" s="835"/>
      <c r="AD49" s="835"/>
      <c r="AE49" s="835"/>
      <c r="AF49" s="835"/>
      <c r="AG49" s="835"/>
      <c r="AH49" s="835"/>
      <c r="AI49" s="835"/>
      <c r="AJ49" s="835"/>
      <c r="AK49" s="835"/>
      <c r="AL49" s="835"/>
      <c r="AM49" s="835"/>
      <c r="AN49" s="835"/>
      <c r="AO49" s="835"/>
      <c r="AP49" s="835"/>
      <c r="AQ49" s="835"/>
      <c r="AR49" s="835"/>
      <c r="AS49" s="835"/>
      <c r="AT49" s="835"/>
      <c r="AU49" s="835"/>
      <c r="AV49" s="835"/>
      <c r="AW49" s="835"/>
      <c r="AX49" s="835"/>
      <c r="AY49" s="835"/>
      <c r="AZ49" s="835"/>
      <c r="BA49" s="835"/>
      <c r="BB49" s="835"/>
    </row>
    <row r="50" spans="1:54" ht="12.75">
      <c r="A50" s="835"/>
      <c r="B50" s="1008"/>
      <c r="C50" s="846" t="s">
        <v>165</v>
      </c>
      <c r="D50" s="846">
        <v>39995</v>
      </c>
      <c r="E50" s="847">
        <v>0.12312215581613645</v>
      </c>
      <c r="F50" s="848">
        <v>2.987</v>
      </c>
      <c r="G50" s="847">
        <v>0.041219335726861886</v>
      </c>
      <c r="H50" s="847"/>
      <c r="I50" s="847">
        <v>32.27318379645129</v>
      </c>
      <c r="J50" s="847">
        <v>41.219335726861885</v>
      </c>
      <c r="K50" s="853"/>
      <c r="L50" s="886"/>
      <c r="M50" s="853">
        <v>0.111</v>
      </c>
      <c r="N50" s="853">
        <v>0.0926</v>
      </c>
      <c r="O50" s="854">
        <v>0.0964</v>
      </c>
      <c r="P50" s="835"/>
      <c r="Q50" s="855">
        <v>49.31576684663895</v>
      </c>
      <c r="R50" s="855">
        <v>44.25149927975068</v>
      </c>
      <c r="S50" s="855">
        <v>31.996163896777265</v>
      </c>
      <c r="T50" s="855">
        <v>39.29089493581517</v>
      </c>
      <c r="U50" s="835"/>
      <c r="V50" s="856">
        <v>37.16103113491798</v>
      </c>
      <c r="W50" s="856">
        <v>31.001004352192837</v>
      </c>
      <c r="X50" s="856">
        <v>32.27318379645129</v>
      </c>
      <c r="Y50" s="878"/>
      <c r="Z50" s="835"/>
      <c r="AA50" s="835"/>
      <c r="AB50" s="835"/>
      <c r="AC50" s="835"/>
      <c r="AD50" s="835"/>
      <c r="AE50" s="835"/>
      <c r="AF50" s="835"/>
      <c r="AG50" s="835"/>
      <c r="AH50" s="835"/>
      <c r="AI50" s="835"/>
      <c r="AJ50" s="835"/>
      <c r="AK50" s="835"/>
      <c r="AL50" s="835"/>
      <c r="AM50" s="835"/>
      <c r="AN50" s="835"/>
      <c r="AO50" s="835"/>
      <c r="AP50" s="835"/>
      <c r="AQ50" s="835"/>
      <c r="AR50" s="835"/>
      <c r="AS50" s="835"/>
      <c r="AT50" s="835"/>
      <c r="AU50" s="835"/>
      <c r="AV50" s="835"/>
      <c r="AW50" s="835"/>
      <c r="AX50" s="835"/>
      <c r="AY50" s="835"/>
      <c r="AZ50" s="835"/>
      <c r="BA50" s="835"/>
      <c r="BB50" s="835"/>
    </row>
    <row r="51" spans="1:54" ht="12.75">
      <c r="A51" s="835"/>
      <c r="B51" s="1008"/>
      <c r="C51" s="846" t="s">
        <v>166</v>
      </c>
      <c r="D51" s="846"/>
      <c r="E51" s="847">
        <v>0.0998802966869281</v>
      </c>
      <c r="F51" s="848">
        <v>2.948</v>
      </c>
      <c r="G51" s="847">
        <v>0.03388069765499597</v>
      </c>
      <c r="H51" s="847"/>
      <c r="I51" s="847">
        <v>32.17927955530267</v>
      </c>
      <c r="J51" s="847">
        <v>33.88069765499597</v>
      </c>
      <c r="K51" s="853"/>
      <c r="L51" s="886"/>
      <c r="M51" s="853">
        <v>0.09293548387096774</v>
      </c>
      <c r="N51" s="853">
        <v>0.10750322580645161</v>
      </c>
      <c r="O51" s="854">
        <v>0.09486451612903227</v>
      </c>
      <c r="P51" s="835"/>
      <c r="Q51" s="855">
        <v>38.51782032718287</v>
      </c>
      <c r="R51" s="855">
        <v>35.2706023403925</v>
      </c>
      <c r="S51" s="855">
        <v>29.157548808738543</v>
      </c>
      <c r="T51" s="855">
        <v>32.74829654193415</v>
      </c>
      <c r="U51" s="835"/>
      <c r="V51" s="856">
        <v>31.524926686217007</v>
      </c>
      <c r="W51" s="856">
        <v>36.46649450693745</v>
      </c>
      <c r="X51" s="856">
        <v>32.17927955530267</v>
      </c>
      <c r="Y51" s="878"/>
      <c r="Z51" s="835"/>
      <c r="AA51" s="835"/>
      <c r="AB51" s="835"/>
      <c r="AC51" s="835"/>
      <c r="AD51" s="835"/>
      <c r="AE51" s="835"/>
      <c r="AF51" s="835"/>
      <c r="AG51" s="835"/>
      <c r="AH51" s="835"/>
      <c r="AI51" s="835"/>
      <c r="AJ51" s="835"/>
      <c r="AK51" s="835"/>
      <c r="AL51" s="835"/>
      <c r="AM51" s="835"/>
      <c r="AN51" s="835"/>
      <c r="AO51" s="835"/>
      <c r="AP51" s="835"/>
      <c r="AQ51" s="835"/>
      <c r="AR51" s="835"/>
      <c r="AS51" s="835"/>
      <c r="AT51" s="835"/>
      <c r="AU51" s="835"/>
      <c r="AV51" s="835"/>
      <c r="AW51" s="835"/>
      <c r="AX51" s="835"/>
      <c r="AY51" s="835"/>
      <c r="AZ51" s="835"/>
      <c r="BA51" s="835"/>
      <c r="BB51" s="835"/>
    </row>
    <row r="52" spans="1:54" ht="12.75">
      <c r="A52" s="835"/>
      <c r="B52" s="1008"/>
      <c r="C52" s="846" t="s">
        <v>172</v>
      </c>
      <c r="D52" s="846">
        <v>40057</v>
      </c>
      <c r="E52" s="847">
        <v>0.10450858019263708</v>
      </c>
      <c r="F52" s="848">
        <v>2.885</v>
      </c>
      <c r="G52" s="847">
        <v>0.03622481115862637</v>
      </c>
      <c r="H52" s="849"/>
      <c r="I52" s="847">
        <v>32.824956672443676</v>
      </c>
      <c r="J52" s="851">
        <v>36.22481115862637</v>
      </c>
      <c r="K52" s="852"/>
      <c r="L52" s="887"/>
      <c r="M52" s="853">
        <v>0.1091</v>
      </c>
      <c r="N52" s="853">
        <v>0.091</v>
      </c>
      <c r="O52" s="854">
        <v>0.0947</v>
      </c>
      <c r="P52" s="835"/>
      <c r="Q52" s="855">
        <v>39.143055249660875</v>
      </c>
      <c r="R52" s="855">
        <v>39.862963643544894</v>
      </c>
      <c r="S52" s="855">
        <v>29.353586361520776</v>
      </c>
      <c r="T52" s="855">
        <v>35.49001947623765</v>
      </c>
      <c r="U52" s="835"/>
      <c r="V52" s="856">
        <v>37.81629116117851</v>
      </c>
      <c r="W52" s="856">
        <v>31.542461005199307</v>
      </c>
      <c r="X52" s="856">
        <v>32.824956672443676</v>
      </c>
      <c r="Y52" s="878"/>
      <c r="Z52" s="835"/>
      <c r="AA52" s="835"/>
      <c r="AB52" s="835"/>
      <c r="AC52" s="835"/>
      <c r="AD52" s="835"/>
      <c r="AE52" s="835"/>
      <c r="AF52" s="835"/>
      <c r="AG52" s="835"/>
      <c r="AH52" s="835"/>
      <c r="AI52" s="835"/>
      <c r="AJ52" s="835"/>
      <c r="AK52" s="835"/>
      <c r="AL52" s="835"/>
      <c r="AM52" s="835"/>
      <c r="AN52" s="835"/>
      <c r="AO52" s="835"/>
      <c r="AP52" s="835"/>
      <c r="AQ52" s="835"/>
      <c r="AR52" s="835"/>
      <c r="AS52" s="835"/>
      <c r="AT52" s="835"/>
      <c r="AU52" s="835"/>
      <c r="AV52" s="835"/>
      <c r="AW52" s="835"/>
      <c r="AX52" s="835"/>
      <c r="AY52" s="835"/>
      <c r="AZ52" s="835"/>
      <c r="BA52" s="835"/>
      <c r="BB52" s="835"/>
    </row>
    <row r="53" spans="1:54" ht="12.75">
      <c r="A53" s="835"/>
      <c r="B53" s="1008"/>
      <c r="C53" s="846" t="s">
        <v>168</v>
      </c>
      <c r="D53" s="846"/>
      <c r="E53" s="847">
        <v>0.05749896795237375</v>
      </c>
      <c r="F53" s="848">
        <v>2.906</v>
      </c>
      <c r="G53" s="847">
        <v>0.01978629317012173</v>
      </c>
      <c r="H53" s="849"/>
      <c r="I53" s="847">
        <v>32.58774948382656</v>
      </c>
      <c r="J53" s="851">
        <v>19.78629317012173</v>
      </c>
      <c r="K53" s="852"/>
      <c r="L53" s="887"/>
      <c r="M53" s="853">
        <v>0.1091</v>
      </c>
      <c r="N53" s="853">
        <v>0.091</v>
      </c>
      <c r="O53" s="854">
        <v>0.0947</v>
      </c>
      <c r="P53" s="835"/>
      <c r="Q53" s="855">
        <v>25.632529460801138</v>
      </c>
      <c r="R53" s="855">
        <v>20.81771493459947</v>
      </c>
      <c r="S53" s="855">
        <v>14.904293715045577</v>
      </c>
      <c r="T53" s="855">
        <v>18.36950700307604</v>
      </c>
      <c r="U53" s="835"/>
      <c r="V53" s="856">
        <v>37.54301445285616</v>
      </c>
      <c r="W53" s="856">
        <v>31.314521679284237</v>
      </c>
      <c r="X53" s="856">
        <v>32.58774948382657</v>
      </c>
      <c r="Y53" s="878"/>
      <c r="Z53" s="835"/>
      <c r="AA53" s="835"/>
      <c r="AB53" s="835"/>
      <c r="AC53" s="835"/>
      <c r="AD53" s="835"/>
      <c r="AE53" s="835"/>
      <c r="AF53" s="835"/>
      <c r="AG53" s="835"/>
      <c r="AH53" s="835"/>
      <c r="AI53" s="835"/>
      <c r="AJ53" s="835"/>
      <c r="AK53" s="835"/>
      <c r="AL53" s="835"/>
      <c r="AM53" s="835"/>
      <c r="AN53" s="835"/>
      <c r="AO53" s="835"/>
      <c r="AP53" s="835"/>
      <c r="AQ53" s="835"/>
      <c r="AR53" s="835"/>
      <c r="AS53" s="835"/>
      <c r="AT53" s="835"/>
      <c r="AU53" s="835"/>
      <c r="AV53" s="835"/>
      <c r="AW53" s="835"/>
      <c r="AX53" s="835"/>
      <c r="AY53" s="835"/>
      <c r="AZ53" s="835"/>
      <c r="BA53" s="835"/>
      <c r="BB53" s="835"/>
    </row>
    <row r="54" spans="1:54" ht="12.75">
      <c r="A54" s="835"/>
      <c r="B54" s="1008"/>
      <c r="C54" s="846" t="s">
        <v>169</v>
      </c>
      <c r="D54" s="846">
        <v>40118</v>
      </c>
      <c r="E54" s="847">
        <v>0.058690834077752226</v>
      </c>
      <c r="F54" s="848">
        <v>2.881</v>
      </c>
      <c r="G54" s="847">
        <v>0.020371688329660614</v>
      </c>
      <c r="H54" s="849"/>
      <c r="I54" s="847">
        <v>32.676973658837596</v>
      </c>
      <c r="J54" s="851">
        <v>20.371688329660614</v>
      </c>
      <c r="K54" s="852"/>
      <c r="L54" s="887"/>
      <c r="M54" s="853">
        <v>0.1091</v>
      </c>
      <c r="N54" s="853">
        <v>0.091</v>
      </c>
      <c r="O54" s="854">
        <v>0.09414236111111111</v>
      </c>
      <c r="P54" s="835"/>
      <c r="Q54" s="855">
        <v>31.4845863703224</v>
      </c>
      <c r="R54" s="855">
        <v>19.989427842009412</v>
      </c>
      <c r="S54" s="855">
        <v>14.451925258512762</v>
      </c>
      <c r="T54" s="855">
        <v>17.687575671454777</v>
      </c>
      <c r="U54" s="835"/>
      <c r="V54" s="856">
        <v>37.86879555709823</v>
      </c>
      <c r="W54" s="856">
        <v>31.58625477264839</v>
      </c>
      <c r="X54" s="856">
        <v>32.6769736588376</v>
      </c>
      <c r="Y54" s="878"/>
      <c r="Z54" s="835"/>
      <c r="AA54" s="835"/>
      <c r="AB54" s="835"/>
      <c r="AC54" s="835"/>
      <c r="AD54" s="835"/>
      <c r="AE54" s="835"/>
      <c r="AF54" s="835"/>
      <c r="AG54" s="835"/>
      <c r="AH54" s="835"/>
      <c r="AI54" s="835"/>
      <c r="AJ54" s="835"/>
      <c r="AK54" s="835"/>
      <c r="AL54" s="835"/>
      <c r="AM54" s="835"/>
      <c r="AN54" s="835"/>
      <c r="AO54" s="835"/>
      <c r="AP54" s="835"/>
      <c r="AQ54" s="835"/>
      <c r="AR54" s="835"/>
      <c r="AS54" s="835"/>
      <c r="AT54" s="835"/>
      <c r="AU54" s="835"/>
      <c r="AV54" s="835"/>
      <c r="AW54" s="835"/>
      <c r="AX54" s="835"/>
      <c r="AY54" s="835"/>
      <c r="AZ54" s="835"/>
      <c r="BA54" s="835"/>
      <c r="BB54" s="835"/>
    </row>
    <row r="55" spans="1:54" ht="13.5" thickBot="1">
      <c r="A55" s="835"/>
      <c r="B55" s="1009"/>
      <c r="C55" s="870" t="s">
        <v>170</v>
      </c>
      <c r="D55" s="870"/>
      <c r="E55" s="880">
        <v>0.049847465932751335</v>
      </c>
      <c r="F55" s="888">
        <v>2.891</v>
      </c>
      <c r="G55" s="880">
        <v>0.01724229191724363</v>
      </c>
      <c r="H55" s="889"/>
      <c r="I55" s="880">
        <v>32.486805547806874</v>
      </c>
      <c r="J55" s="879">
        <v>17.24229191724363</v>
      </c>
      <c r="K55" s="852"/>
      <c r="L55" s="887"/>
      <c r="M55" s="853">
        <v>0.1091</v>
      </c>
      <c r="N55" s="853">
        <v>0.091</v>
      </c>
      <c r="O55" s="854">
        <v>0.09391935483870967</v>
      </c>
      <c r="P55" s="835"/>
      <c r="Q55" s="855">
        <v>43.79554758835157</v>
      </c>
      <c r="R55" s="855">
        <v>15.230231509207474</v>
      </c>
      <c r="S55" s="855">
        <v>5.122197113433074</v>
      </c>
      <c r="T55" s="855">
        <v>11.05939930125452</v>
      </c>
      <c r="U55" s="835"/>
      <c r="V55" s="856">
        <v>37.73780698720166</v>
      </c>
      <c r="W55" s="856">
        <v>31.476997578692497</v>
      </c>
      <c r="X55" s="856">
        <v>32.48680554780687</v>
      </c>
      <c r="Y55" s="878"/>
      <c r="Z55" s="835"/>
      <c r="AA55" s="835"/>
      <c r="AB55" s="835"/>
      <c r="AC55" s="835"/>
      <c r="AD55" s="835"/>
      <c r="AE55" s="835"/>
      <c r="AF55" s="835"/>
      <c r="AG55" s="835"/>
      <c r="AH55" s="835"/>
      <c r="AI55" s="835"/>
      <c r="AJ55" s="835"/>
      <c r="AK55" s="835"/>
      <c r="AL55" s="835"/>
      <c r="AM55" s="835"/>
      <c r="AN55" s="835"/>
      <c r="AO55" s="835"/>
      <c r="AP55" s="835"/>
      <c r="AQ55" s="835"/>
      <c r="AR55" s="835"/>
      <c r="AS55" s="835"/>
      <c r="AT55" s="835"/>
      <c r="AU55" s="835"/>
      <c r="AV55" s="835"/>
      <c r="AW55" s="835"/>
      <c r="AX55" s="835"/>
      <c r="AY55" s="835"/>
      <c r="AZ55" s="835"/>
      <c r="BA55" s="835"/>
      <c r="BB55" s="835"/>
    </row>
    <row r="56" spans="1:54" ht="12.75">
      <c r="A56" s="835"/>
      <c r="B56" s="1007">
        <v>2010</v>
      </c>
      <c r="C56" s="875" t="s">
        <v>150</v>
      </c>
      <c r="D56" s="875">
        <v>40179</v>
      </c>
      <c r="E56" s="882">
        <v>0.06614493676413108</v>
      </c>
      <c r="F56" s="883">
        <v>2.857</v>
      </c>
      <c r="G56" s="882">
        <v>0.023151885461718962</v>
      </c>
      <c r="H56" s="884"/>
      <c r="I56" s="882">
        <v>31.03709620964919</v>
      </c>
      <c r="J56" s="890">
        <v>23.151885461718962</v>
      </c>
      <c r="K56" s="852"/>
      <c r="L56" s="887"/>
      <c r="M56" s="853">
        <v>0.10289999999999999</v>
      </c>
      <c r="N56" s="853">
        <v>0.0858</v>
      </c>
      <c r="O56" s="854">
        <v>0.08867298387096774</v>
      </c>
      <c r="P56" s="835"/>
      <c r="Q56" s="855">
        <v>44.574993713619904</v>
      </c>
      <c r="R56" s="855">
        <v>26.771186003680885</v>
      </c>
      <c r="S56" s="855">
        <v>5.884843623917234</v>
      </c>
      <c r="T56" s="855">
        <v>18.197333952827044</v>
      </c>
      <c r="U56" s="835"/>
      <c r="V56" s="856">
        <v>36.016800840041995</v>
      </c>
      <c r="W56" s="856">
        <v>30.03150157507875</v>
      </c>
      <c r="X56" s="856">
        <v>31.037096209649192</v>
      </c>
      <c r="Y56" s="878"/>
      <c r="Z56" s="835"/>
      <c r="AA56" s="835"/>
      <c r="AB56" s="835"/>
      <c r="AC56" s="835"/>
      <c r="AD56" s="835"/>
      <c r="AE56" s="835"/>
      <c r="AF56" s="835"/>
      <c r="AG56" s="835"/>
      <c r="AH56" s="835"/>
      <c r="AI56" s="835"/>
      <c r="AJ56" s="835"/>
      <c r="AK56" s="835"/>
      <c r="AL56" s="835"/>
      <c r="AM56" s="835"/>
      <c r="AN56" s="835"/>
      <c r="AO56" s="835"/>
      <c r="AP56" s="835"/>
      <c r="AQ56" s="835"/>
      <c r="AR56" s="835"/>
      <c r="AS56" s="835"/>
      <c r="AT56" s="835"/>
      <c r="AU56" s="835"/>
      <c r="AV56" s="835"/>
      <c r="AW56" s="835"/>
      <c r="AX56" s="835"/>
      <c r="AY56" s="835"/>
      <c r="AZ56" s="835"/>
      <c r="BA56" s="835"/>
      <c r="BB56" s="835"/>
    </row>
    <row r="57" spans="1:54" ht="12.75">
      <c r="A57" s="835"/>
      <c r="B57" s="1008"/>
      <c r="C57" s="846" t="s">
        <v>155</v>
      </c>
      <c r="D57" s="846"/>
      <c r="E57" s="847">
        <v>0.06994005809958534</v>
      </c>
      <c r="F57" s="848">
        <v>2.849</v>
      </c>
      <c r="G57" s="847">
        <v>0.024548984941939394</v>
      </c>
      <c r="H57" s="849"/>
      <c r="I57" s="847">
        <v>31.18763475906333</v>
      </c>
      <c r="J57" s="851">
        <v>24.548984941939395</v>
      </c>
      <c r="K57" s="852"/>
      <c r="L57" s="887"/>
      <c r="M57" s="853">
        <v>0.10289999999999999</v>
      </c>
      <c r="N57" s="853">
        <v>0.0858</v>
      </c>
      <c r="O57" s="854">
        <v>0.08885357142857143</v>
      </c>
      <c r="P57" s="835"/>
      <c r="Q57" s="855">
        <v>46.283394876772654</v>
      </c>
      <c r="R57" s="855">
        <v>27.768064621140056</v>
      </c>
      <c r="S57" s="855">
        <v>7.033293064549172</v>
      </c>
      <c r="T57" s="855">
        <v>19.220685147165554</v>
      </c>
      <c r="U57" s="835"/>
      <c r="V57" s="856">
        <v>36.11793611793612</v>
      </c>
      <c r="W57" s="856">
        <v>30.115830115830114</v>
      </c>
      <c r="X57" s="856">
        <v>31.187634759063332</v>
      </c>
      <c r="Y57" s="878"/>
      <c r="Z57" s="835"/>
      <c r="AA57" s="835"/>
      <c r="AB57" s="835"/>
      <c r="AC57" s="835"/>
      <c r="AD57" s="835"/>
      <c r="AE57" s="835"/>
      <c r="AF57" s="835"/>
      <c r="AG57" s="835"/>
      <c r="AH57" s="835"/>
      <c r="AI57" s="835"/>
      <c r="AJ57" s="835"/>
      <c r="AK57" s="835"/>
      <c r="AL57" s="835"/>
      <c r="AM57" s="835"/>
      <c r="AN57" s="835"/>
      <c r="AO57" s="835"/>
      <c r="AP57" s="835"/>
      <c r="AQ57" s="835"/>
      <c r="AR57" s="835"/>
      <c r="AS57" s="835"/>
      <c r="AT57" s="835"/>
      <c r="AU57" s="835"/>
      <c r="AV57" s="835"/>
      <c r="AW57" s="835"/>
      <c r="AX57" s="835"/>
      <c r="AY57" s="835"/>
      <c r="AZ57" s="835"/>
      <c r="BA57" s="835"/>
      <c r="BB57" s="835"/>
    </row>
    <row r="58" spans="1:54" ht="12.75">
      <c r="A58" s="835"/>
      <c r="B58" s="1008"/>
      <c r="C58" s="846" t="s">
        <v>159</v>
      </c>
      <c r="D58" s="846">
        <v>40238</v>
      </c>
      <c r="E58" s="847">
        <v>0.06243084735265119</v>
      </c>
      <c r="F58" s="848">
        <v>2.842</v>
      </c>
      <c r="G58" s="847">
        <v>0.02196722285455707</v>
      </c>
      <c r="H58" s="849"/>
      <c r="I58" s="847">
        <v>31.281781344350865</v>
      </c>
      <c r="J58" s="851">
        <v>21.96722285455707</v>
      </c>
      <c r="K58" s="852"/>
      <c r="L58" s="887"/>
      <c r="M58" s="853">
        <v>0.10289999999999999</v>
      </c>
      <c r="N58" s="853">
        <v>0.0858</v>
      </c>
      <c r="O58" s="854">
        <v>0.08890282258064516</v>
      </c>
      <c r="P58" s="835"/>
      <c r="Q58" s="855">
        <v>44.870892184540594</v>
      </c>
      <c r="R58" s="855">
        <v>23.434913183398113</v>
      </c>
      <c r="S58" s="855">
        <v>5.8515017964509575</v>
      </c>
      <c r="T58" s="855">
        <v>16.14405106025243</v>
      </c>
      <c r="U58" s="835"/>
      <c r="V58" s="856">
        <v>36.206896551724135</v>
      </c>
      <c r="W58" s="856">
        <v>30.190007037297676</v>
      </c>
      <c r="X58" s="856">
        <v>31.28178134435087</v>
      </c>
      <c r="Y58" s="878"/>
      <c r="Z58" s="835"/>
      <c r="AA58" s="835"/>
      <c r="AB58" s="835"/>
      <c r="AC58" s="835"/>
      <c r="AD58" s="835"/>
      <c r="AE58" s="835"/>
      <c r="AF58" s="835"/>
      <c r="AG58" s="835"/>
      <c r="AH58" s="835"/>
      <c r="AI58" s="835"/>
      <c r="AJ58" s="835"/>
      <c r="AK58" s="835"/>
      <c r="AL58" s="835"/>
      <c r="AM58" s="835"/>
      <c r="AN58" s="835"/>
      <c r="AO58" s="835"/>
      <c r="AP58" s="835"/>
      <c r="AQ58" s="835"/>
      <c r="AR58" s="835"/>
      <c r="AS58" s="835"/>
      <c r="AT58" s="835"/>
      <c r="AU58" s="835"/>
      <c r="AV58" s="835"/>
      <c r="AW58" s="835"/>
      <c r="AX58" s="835"/>
      <c r="AY58" s="835"/>
      <c r="AZ58" s="835"/>
      <c r="BA58" s="835"/>
      <c r="BB58" s="835"/>
    </row>
    <row r="59" spans="1:54" ht="12.75">
      <c r="A59" s="835"/>
      <c r="B59" s="1008"/>
      <c r="C59" s="846" t="s">
        <v>161</v>
      </c>
      <c r="D59" s="846"/>
      <c r="E59" s="847">
        <v>0.04730502561474757</v>
      </c>
      <c r="F59" s="848">
        <v>2.849</v>
      </c>
      <c r="G59" s="847">
        <v>0.01660408059485699</v>
      </c>
      <c r="H59" s="849"/>
      <c r="I59" s="847">
        <v>31.074499824499817</v>
      </c>
      <c r="J59" s="851">
        <v>16.604080594856992</v>
      </c>
      <c r="K59" s="852"/>
      <c r="L59" s="887"/>
      <c r="M59" s="853">
        <v>0.10289999999999999</v>
      </c>
      <c r="N59" s="853">
        <v>0.0858</v>
      </c>
      <c r="O59" s="854">
        <v>0.08853124999999999</v>
      </c>
      <c r="P59" s="835"/>
      <c r="Q59" s="855">
        <v>33.44254538512569</v>
      </c>
      <c r="R59" s="855">
        <v>16.425263971160785</v>
      </c>
      <c r="S59" s="855">
        <v>7.099764044956516</v>
      </c>
      <c r="T59" s="855">
        <v>12.577906238873501</v>
      </c>
      <c r="U59" s="835"/>
      <c r="V59" s="856">
        <v>36.11793611793612</v>
      </c>
      <c r="W59" s="856">
        <v>30.115830115830114</v>
      </c>
      <c r="X59" s="856">
        <v>31.07449982449982</v>
      </c>
      <c r="Y59" s="878"/>
      <c r="Z59" s="835"/>
      <c r="AA59" s="835"/>
      <c r="AB59" s="835"/>
      <c r="AC59" s="835"/>
      <c r="AD59" s="835"/>
      <c r="AE59" s="835"/>
      <c r="AF59" s="835"/>
      <c r="AG59" s="835"/>
      <c r="AH59" s="835"/>
      <c r="AI59" s="835"/>
      <c r="AJ59" s="835"/>
      <c r="AK59" s="835"/>
      <c r="AL59" s="835"/>
      <c r="AM59" s="835"/>
      <c r="AN59" s="835"/>
      <c r="AO59" s="835"/>
      <c r="AP59" s="835"/>
      <c r="AQ59" s="835"/>
      <c r="AR59" s="835"/>
      <c r="AS59" s="835"/>
      <c r="AT59" s="835"/>
      <c r="AU59" s="835"/>
      <c r="AV59" s="835"/>
      <c r="AW59" s="835"/>
      <c r="AX59" s="835"/>
      <c r="AY59" s="835"/>
      <c r="AZ59" s="835"/>
      <c r="BA59" s="835"/>
      <c r="BB59" s="835"/>
    </row>
    <row r="60" spans="1:54" ht="12.75">
      <c r="A60" s="835"/>
      <c r="B60" s="1008"/>
      <c r="C60" s="846" t="s">
        <v>163</v>
      </c>
      <c r="D60" s="846">
        <v>40299</v>
      </c>
      <c r="E60" s="847">
        <v>0.05166713371435136</v>
      </c>
      <c r="F60" s="848">
        <v>2.845</v>
      </c>
      <c r="G60" s="847">
        <v>0.01816067968869995</v>
      </c>
      <c r="H60" s="849"/>
      <c r="I60" s="847">
        <v>28.854054462649053</v>
      </c>
      <c r="J60" s="851">
        <v>18.16067968869995</v>
      </c>
      <c r="K60" s="852"/>
      <c r="L60" s="887"/>
      <c r="M60" s="853">
        <v>0.0981</v>
      </c>
      <c r="N60" s="853">
        <v>0.0787</v>
      </c>
      <c r="O60" s="854">
        <v>0.08208978494623656</v>
      </c>
      <c r="P60" s="835"/>
      <c r="Q60" s="855">
        <v>24.98226134288631</v>
      </c>
      <c r="R60" s="855">
        <v>17.765064240938784</v>
      </c>
      <c r="S60" s="855">
        <v>14.831558831872126</v>
      </c>
      <c r="T60" s="855">
        <v>16.559768274204295</v>
      </c>
      <c r="U60" s="835"/>
      <c r="V60" s="856">
        <v>34.481546572934974</v>
      </c>
      <c r="W60" s="856">
        <v>27.66256590509666</v>
      </c>
      <c r="X60" s="856">
        <v>28.854054462649053</v>
      </c>
      <c r="Y60" s="878"/>
      <c r="Z60" s="835"/>
      <c r="AA60" s="835"/>
      <c r="AB60" s="835"/>
      <c r="AC60" s="835"/>
      <c r="AD60" s="835"/>
      <c r="AE60" s="835"/>
      <c r="AF60" s="835"/>
      <c r="AG60" s="835"/>
      <c r="AH60" s="835"/>
      <c r="AI60" s="835"/>
      <c r="AJ60" s="835"/>
      <c r="AK60" s="835"/>
      <c r="AL60" s="835"/>
      <c r="AM60" s="835"/>
      <c r="AN60" s="835"/>
      <c r="AO60" s="835"/>
      <c r="AP60" s="835"/>
      <c r="AQ60" s="835"/>
      <c r="AR60" s="835"/>
      <c r="AS60" s="835"/>
      <c r="AT60" s="835"/>
      <c r="AU60" s="835"/>
      <c r="AV60" s="835"/>
      <c r="AW60" s="835"/>
      <c r="AX60" s="835"/>
      <c r="AY60" s="835"/>
      <c r="AZ60" s="835"/>
      <c r="BA60" s="835"/>
      <c r="BB60" s="835"/>
    </row>
    <row r="61" spans="1:54" ht="12.75">
      <c r="A61" s="835"/>
      <c r="B61" s="1008"/>
      <c r="C61" s="846" t="s">
        <v>164</v>
      </c>
      <c r="D61" s="846"/>
      <c r="E61" s="847">
        <v>0.057761890081474775</v>
      </c>
      <c r="F61" s="848">
        <v>2.827</v>
      </c>
      <c r="G61" s="847">
        <v>0.02043222146497162</v>
      </c>
      <c r="H61" s="849"/>
      <c r="I61" s="847">
        <v>29.030086860826163</v>
      </c>
      <c r="J61" s="851">
        <v>20.432221464971622</v>
      </c>
      <c r="K61" s="852"/>
      <c r="L61" s="887"/>
      <c r="M61" s="853">
        <v>0.0981</v>
      </c>
      <c r="N61" s="853">
        <v>0.0787</v>
      </c>
      <c r="O61" s="854">
        <v>0.08206805555555556</v>
      </c>
      <c r="P61" s="835"/>
      <c r="Q61" s="855">
        <v>21.46365950671952</v>
      </c>
      <c r="R61" s="855">
        <v>21.034796719755477</v>
      </c>
      <c r="S61" s="855">
        <v>18.976756702017614</v>
      </c>
      <c r="T61" s="855">
        <v>20.18224407061089</v>
      </c>
      <c r="U61" s="835"/>
      <c r="V61" s="856">
        <v>34.70109656880086</v>
      </c>
      <c r="W61" s="856">
        <v>27.838698266713834</v>
      </c>
      <c r="X61" s="856">
        <v>29.030086860826163</v>
      </c>
      <c r="Y61" s="878"/>
      <c r="Z61" s="835"/>
      <c r="AA61" s="835"/>
      <c r="AB61" s="835"/>
      <c r="AC61" s="835"/>
      <c r="AD61" s="835"/>
      <c r="AE61" s="835"/>
      <c r="AF61" s="835"/>
      <c r="AG61" s="835"/>
      <c r="AH61" s="835"/>
      <c r="AI61" s="835"/>
      <c r="AJ61" s="835"/>
      <c r="AK61" s="835"/>
      <c r="AL61" s="835"/>
      <c r="AM61" s="835"/>
      <c r="AN61" s="835"/>
      <c r="AO61" s="835"/>
      <c r="AP61" s="835"/>
      <c r="AQ61" s="835"/>
      <c r="AR61" s="835"/>
      <c r="AS61" s="835"/>
      <c r="AT61" s="835"/>
      <c r="AU61" s="835"/>
      <c r="AV61" s="835"/>
      <c r="AW61" s="835"/>
      <c r="AX61" s="835"/>
      <c r="AY61" s="835"/>
      <c r="AZ61" s="835"/>
      <c r="BA61" s="835"/>
      <c r="BB61" s="835"/>
    </row>
    <row r="62" spans="1:54" ht="12.75">
      <c r="A62" s="835"/>
      <c r="B62" s="1008"/>
      <c r="C62" s="846" t="s">
        <v>165</v>
      </c>
      <c r="D62" s="846">
        <v>40360</v>
      </c>
      <c r="E62" s="847">
        <v>0.056145206767578795</v>
      </c>
      <c r="F62" s="848">
        <v>2.824</v>
      </c>
      <c r="G62" s="847">
        <v>0.019881447155658215</v>
      </c>
      <c r="H62" s="849"/>
      <c r="I62" s="847">
        <v>28.976286210362794</v>
      </c>
      <c r="J62" s="851">
        <v>19.881447155658215</v>
      </c>
      <c r="K62" s="852"/>
      <c r="L62" s="887"/>
      <c r="M62" s="853">
        <v>0.0981</v>
      </c>
      <c r="N62" s="853">
        <v>0.0787</v>
      </c>
      <c r="O62" s="854">
        <v>0.08182903225806452</v>
      </c>
      <c r="P62" s="835"/>
      <c r="Q62" s="855">
        <v>21.317843781656617</v>
      </c>
      <c r="R62" s="855">
        <v>20.740567326753307</v>
      </c>
      <c r="S62" s="855">
        <v>17.836560787365386</v>
      </c>
      <c r="T62" s="855">
        <v>19.545461965718157</v>
      </c>
      <c r="U62" s="835"/>
      <c r="V62" s="856">
        <v>34.73796033994335</v>
      </c>
      <c r="W62" s="856">
        <v>27.868271954674224</v>
      </c>
      <c r="X62" s="856">
        <v>28.976286210362794</v>
      </c>
      <c r="Y62" s="878"/>
      <c r="Z62" s="835"/>
      <c r="AA62" s="835"/>
      <c r="AB62" s="835"/>
      <c r="AC62" s="835"/>
      <c r="AD62" s="835"/>
      <c r="AE62" s="835"/>
      <c r="AF62" s="835"/>
      <c r="AG62" s="835"/>
      <c r="AH62" s="835"/>
      <c r="AI62" s="835"/>
      <c r="AJ62" s="835"/>
      <c r="AK62" s="835"/>
      <c r="AL62" s="835"/>
      <c r="AM62" s="835"/>
      <c r="AN62" s="835"/>
      <c r="AO62" s="835"/>
      <c r="AP62" s="835"/>
      <c r="AQ62" s="835"/>
      <c r="AR62" s="835"/>
      <c r="AS62" s="835"/>
      <c r="AT62" s="835"/>
      <c r="AU62" s="835"/>
      <c r="AV62" s="835"/>
      <c r="AW62" s="835"/>
      <c r="AX62" s="835"/>
      <c r="AY62" s="835"/>
      <c r="AZ62" s="835"/>
      <c r="BA62" s="835"/>
      <c r="BB62" s="835"/>
    </row>
    <row r="63" spans="1:54" ht="12.75">
      <c r="A63" s="835"/>
      <c r="B63" s="1008"/>
      <c r="C63" s="846" t="s">
        <v>166</v>
      </c>
      <c r="D63" s="846"/>
      <c r="E63" s="847">
        <v>0.0640553001393043</v>
      </c>
      <c r="F63" s="848">
        <v>2.798</v>
      </c>
      <c r="G63" s="847">
        <v>0.022893245224912186</v>
      </c>
      <c r="H63" s="849"/>
      <c r="I63" s="847">
        <v>29.838833312807868</v>
      </c>
      <c r="J63" s="851">
        <v>22.893245224912185</v>
      </c>
      <c r="K63" s="852"/>
      <c r="L63" s="887"/>
      <c r="M63" s="853">
        <v>0.1005623271889401</v>
      </c>
      <c r="N63" s="853">
        <v>0.0798741935483871</v>
      </c>
      <c r="O63" s="854">
        <v>0.08348905560923642</v>
      </c>
      <c r="P63" s="835"/>
      <c r="Q63" s="855">
        <v>24.587899207448007</v>
      </c>
      <c r="R63" s="855">
        <v>24.393126109597418</v>
      </c>
      <c r="S63" s="855">
        <v>19.792591053589362</v>
      </c>
      <c r="T63" s="855">
        <v>22.499645992605526</v>
      </c>
      <c r="U63" s="835"/>
      <c r="V63" s="856">
        <v>35.9407888452252</v>
      </c>
      <c r="W63" s="856">
        <v>28.54688833037423</v>
      </c>
      <c r="X63" s="856">
        <v>29.838833312807868</v>
      </c>
      <c r="Y63" s="878"/>
      <c r="Z63" s="835"/>
      <c r="AA63" s="835"/>
      <c r="AB63" s="835"/>
      <c r="AC63" s="835"/>
      <c r="AD63" s="835"/>
      <c r="AE63" s="835"/>
      <c r="AF63" s="835"/>
      <c r="AG63" s="835"/>
      <c r="AH63" s="835"/>
      <c r="AI63" s="835"/>
      <c r="AJ63" s="835"/>
      <c r="AK63" s="835"/>
      <c r="AL63" s="835"/>
      <c r="AM63" s="835"/>
      <c r="AN63" s="835"/>
      <c r="AO63" s="835"/>
      <c r="AP63" s="835"/>
      <c r="AQ63" s="835"/>
      <c r="AR63" s="835"/>
      <c r="AS63" s="835"/>
      <c r="AT63" s="835"/>
      <c r="AU63" s="835"/>
      <c r="AV63" s="835"/>
      <c r="AW63" s="835"/>
      <c r="AX63" s="835"/>
      <c r="AY63" s="835"/>
      <c r="AZ63" s="835"/>
      <c r="BA63" s="835"/>
      <c r="BB63" s="835"/>
    </row>
    <row r="64" spans="1:54" ht="12.75">
      <c r="A64" s="835"/>
      <c r="B64" s="1008"/>
      <c r="C64" s="846" t="s">
        <v>167</v>
      </c>
      <c r="D64" s="846">
        <v>40422</v>
      </c>
      <c r="E64" s="847">
        <v>0.06647327657315469</v>
      </c>
      <c r="F64" s="848">
        <v>2.788</v>
      </c>
      <c r="G64" s="847">
        <v>0.02384263865608131</v>
      </c>
      <c r="H64" s="849"/>
      <c r="I64" s="847">
        <v>29.97020962856688</v>
      </c>
      <c r="J64" s="851">
        <v>23.84263865608131</v>
      </c>
      <c r="K64" s="852"/>
      <c r="L64" s="887">
        <v>21.55788852073195</v>
      </c>
      <c r="M64" s="853">
        <v>0.09970000000000001</v>
      </c>
      <c r="N64" s="853">
        <v>0.08</v>
      </c>
      <c r="O64" s="854">
        <v>0.08355694444444445</v>
      </c>
      <c r="P64" s="835">
        <v>46.28311735507557</v>
      </c>
      <c r="Q64" s="855">
        <v>25.54107489756745</v>
      </c>
      <c r="R64" s="855">
        <v>24.75925702413946</v>
      </c>
      <c r="S64" s="855">
        <v>21.528246449162467</v>
      </c>
      <c r="T64" s="855">
        <v>23.408578221902452</v>
      </c>
      <c r="U64" s="835"/>
      <c r="V64" s="856">
        <v>35.76040172166428</v>
      </c>
      <c r="W64" s="856">
        <v>28.69440459110474</v>
      </c>
      <c r="X64" s="856">
        <v>29.970209628566877</v>
      </c>
      <c r="Y64" s="878"/>
      <c r="Z64" s="835"/>
      <c r="AA64" s="835"/>
      <c r="AB64" s="835"/>
      <c r="AC64" s="835"/>
      <c r="AD64" s="835"/>
      <c r="AE64" s="835"/>
      <c r="AF64" s="835"/>
      <c r="AG64" s="835"/>
      <c r="AH64" s="835"/>
      <c r="AI64" s="835"/>
      <c r="AJ64" s="835"/>
      <c r="AK64" s="835"/>
      <c r="AL64" s="835"/>
      <c r="AM64" s="835"/>
      <c r="AN64" s="835"/>
      <c r="AO64" s="835"/>
      <c r="AP64" s="835"/>
      <c r="AQ64" s="835"/>
      <c r="AR64" s="835"/>
      <c r="AS64" s="835"/>
      <c r="AT64" s="835"/>
      <c r="AU64" s="835"/>
      <c r="AV64" s="835"/>
      <c r="AW64" s="835"/>
      <c r="AX64" s="835"/>
      <c r="AY64" s="835"/>
      <c r="AZ64" s="835"/>
      <c r="BA64" s="835"/>
      <c r="BB64" s="835"/>
    </row>
    <row r="65" spans="1:54" ht="12.75">
      <c r="A65" s="835"/>
      <c r="B65" s="1008"/>
      <c r="C65" s="846" t="s">
        <v>168</v>
      </c>
      <c r="D65" s="846"/>
      <c r="E65" s="847">
        <v>0.06779188604104058</v>
      </c>
      <c r="F65" s="848">
        <v>2.798</v>
      </c>
      <c r="G65" s="847">
        <v>0.024228694081858678</v>
      </c>
      <c r="H65" s="849"/>
      <c r="I65" s="847">
        <v>29.82208874234284</v>
      </c>
      <c r="J65" s="851">
        <v>24.228694081858677</v>
      </c>
      <c r="K65" s="852"/>
      <c r="L65" s="887">
        <v>21.55788852073195</v>
      </c>
      <c r="M65" s="853">
        <v>0.09970000000000001</v>
      </c>
      <c r="N65" s="853">
        <v>0.08</v>
      </c>
      <c r="O65" s="854">
        <v>0.08344220430107527</v>
      </c>
      <c r="P65" s="835">
        <v>46.28311735507557</v>
      </c>
      <c r="Q65" s="855">
        <v>26.386348589396025</v>
      </c>
      <c r="R65" s="855">
        <v>24.926014556996144</v>
      </c>
      <c r="S65" s="855">
        <v>22.023719406671493</v>
      </c>
      <c r="T65" s="855">
        <v>23.72677059985505</v>
      </c>
      <c r="U65" s="835"/>
      <c r="V65" s="856">
        <v>35.63259471050751</v>
      </c>
      <c r="W65" s="856">
        <v>28.591851322373124</v>
      </c>
      <c r="X65" s="856">
        <v>29.82208874234284</v>
      </c>
      <c r="Y65" s="878"/>
      <c r="Z65" s="835"/>
      <c r="AA65" s="835"/>
      <c r="AB65" s="835"/>
      <c r="AC65" s="835"/>
      <c r="AD65" s="835"/>
      <c r="AE65" s="835"/>
      <c r="AF65" s="835"/>
      <c r="AG65" s="835"/>
      <c r="AH65" s="835"/>
      <c r="AI65" s="835"/>
      <c r="AJ65" s="835"/>
      <c r="AK65" s="835"/>
      <c r="AL65" s="835"/>
      <c r="AM65" s="835"/>
      <c r="AN65" s="835"/>
      <c r="AO65" s="835"/>
      <c r="AP65" s="835"/>
      <c r="AQ65" s="835"/>
      <c r="AR65" s="835"/>
      <c r="AS65" s="835"/>
      <c r="AT65" s="835"/>
      <c r="AU65" s="835"/>
      <c r="AV65" s="835"/>
      <c r="AW65" s="835"/>
      <c r="AX65" s="835"/>
      <c r="AY65" s="835"/>
      <c r="AZ65" s="835"/>
      <c r="BA65" s="835"/>
      <c r="BB65" s="835"/>
    </row>
    <row r="66" spans="1:54" ht="12.75">
      <c r="A66" s="835"/>
      <c r="B66" s="1008"/>
      <c r="C66" s="846" t="s">
        <v>169</v>
      </c>
      <c r="D66" s="846">
        <v>40483</v>
      </c>
      <c r="E66" s="847">
        <v>0.06542277168880252</v>
      </c>
      <c r="F66" s="848">
        <v>2.832</v>
      </c>
      <c r="G66" s="847">
        <v>0.023101261189548913</v>
      </c>
      <c r="H66" s="849"/>
      <c r="I66" s="847">
        <v>29.45626373195229</v>
      </c>
      <c r="J66" s="851">
        <v>23.101261189548914</v>
      </c>
      <c r="K66" s="852"/>
      <c r="L66" s="887">
        <v>21.703255388505656</v>
      </c>
      <c r="M66" s="853">
        <v>0.09970000000000001</v>
      </c>
      <c r="N66" s="853">
        <v>0.08</v>
      </c>
      <c r="O66" s="854">
        <v>0.08342013888888888</v>
      </c>
      <c r="P66" s="835">
        <v>46.03642764382488</v>
      </c>
      <c r="Q66" s="855">
        <v>25.822971782493074</v>
      </c>
      <c r="R66" s="855">
        <v>24.961720157616185</v>
      </c>
      <c r="S66" s="855">
        <v>18.896536306185432</v>
      </c>
      <c r="T66" s="855">
        <v>22.416125474128897</v>
      </c>
      <c r="U66" s="835"/>
      <c r="V66" s="856">
        <v>35.20480225988701</v>
      </c>
      <c r="W66" s="856">
        <v>28.24858757062147</v>
      </c>
      <c r="X66" s="856">
        <v>29.45626373195229</v>
      </c>
      <c r="Y66" s="878"/>
      <c r="Z66" s="835"/>
      <c r="AA66" s="835"/>
      <c r="AB66" s="835"/>
      <c r="AC66" s="835"/>
      <c r="AD66" s="835"/>
      <c r="AE66" s="835"/>
      <c r="AF66" s="835"/>
      <c r="AG66" s="835"/>
      <c r="AH66" s="835"/>
      <c r="AI66" s="835"/>
      <c r="AJ66" s="835"/>
      <c r="AK66" s="835"/>
      <c r="AL66" s="835"/>
      <c r="AM66" s="835"/>
      <c r="AN66" s="835"/>
      <c r="AO66" s="835"/>
      <c r="AP66" s="835"/>
      <c r="AQ66" s="835"/>
      <c r="AR66" s="835"/>
      <c r="AS66" s="835"/>
      <c r="AT66" s="835"/>
      <c r="AU66" s="835"/>
      <c r="AV66" s="835"/>
      <c r="AW66" s="835"/>
      <c r="AX66" s="835"/>
      <c r="AY66" s="835"/>
      <c r="AZ66" s="835"/>
      <c r="BA66" s="835"/>
      <c r="BB66" s="835"/>
    </row>
    <row r="67" spans="1:54" ht="13.5" thickBot="1">
      <c r="A67" s="835"/>
      <c r="B67" s="1009"/>
      <c r="C67" s="870" t="s">
        <v>170</v>
      </c>
      <c r="D67" s="870"/>
      <c r="E67" s="880">
        <v>0.052691259154911435</v>
      </c>
      <c r="F67" s="888">
        <v>2.809</v>
      </c>
      <c r="G67" s="880">
        <v>0.01875801322709556</v>
      </c>
      <c r="H67" s="889"/>
      <c r="I67" s="880">
        <v>29.611042846151197</v>
      </c>
      <c r="J67" s="879">
        <v>18.75801322709556</v>
      </c>
      <c r="K67" s="852"/>
      <c r="L67" s="887">
        <v>21.441690433520673</v>
      </c>
      <c r="M67" s="853">
        <v>0.09970000000000001</v>
      </c>
      <c r="N67" s="853">
        <v>0.08</v>
      </c>
      <c r="O67" s="854">
        <v>0.08317741935483872</v>
      </c>
      <c r="P67" s="835">
        <v>45.4349345261625</v>
      </c>
      <c r="Q67" s="855">
        <v>23.247879371309327</v>
      </c>
      <c r="R67" s="855">
        <v>19.183003760810774</v>
      </c>
      <c r="S67" s="855">
        <v>14.057375546481614</v>
      </c>
      <c r="T67" s="855">
        <v>17.06462412934179</v>
      </c>
      <c r="U67" s="835"/>
      <c r="V67" s="856">
        <v>35.493058027767894</v>
      </c>
      <c r="W67" s="856">
        <v>28.479886080455675</v>
      </c>
      <c r="X67" s="856">
        <v>29.6110428461512</v>
      </c>
      <c r="Y67" s="878"/>
      <c r="Z67" s="835"/>
      <c r="AA67" s="835"/>
      <c r="AB67" s="835"/>
      <c r="AC67" s="835"/>
      <c r="AD67" s="835"/>
      <c r="AE67" s="835"/>
      <c r="AF67" s="835"/>
      <c r="AG67" s="835"/>
      <c r="AH67" s="835"/>
      <c r="AI67" s="835"/>
      <c r="AJ67" s="835"/>
      <c r="AK67" s="835"/>
      <c r="AL67" s="835"/>
      <c r="AM67" s="835"/>
      <c r="AN67" s="835"/>
      <c r="AO67" s="835"/>
      <c r="AP67" s="835"/>
      <c r="AQ67" s="835"/>
      <c r="AR67" s="835"/>
      <c r="AS67" s="835"/>
      <c r="AT67" s="835"/>
      <c r="AU67" s="835"/>
      <c r="AV67" s="835"/>
      <c r="AW67" s="835"/>
      <c r="AX67" s="835"/>
      <c r="AY67" s="835"/>
      <c r="AZ67" s="835"/>
      <c r="BA67" s="835"/>
      <c r="BB67" s="835"/>
    </row>
    <row r="68" spans="1:54" ht="12.75">
      <c r="A68" s="835"/>
      <c r="B68" s="1007">
        <v>2011</v>
      </c>
      <c r="C68" s="875" t="s">
        <v>150</v>
      </c>
      <c r="D68" s="875">
        <v>40544</v>
      </c>
      <c r="E68" s="882">
        <v>0.048713932672003475</v>
      </c>
      <c r="F68" s="883">
        <v>2.773</v>
      </c>
      <c r="G68" s="882">
        <v>0.017567231399929127</v>
      </c>
      <c r="H68" s="884"/>
      <c r="I68" s="882">
        <v>30.043206573370714</v>
      </c>
      <c r="J68" s="890">
        <v>17.567231399929128</v>
      </c>
      <c r="K68" s="852"/>
      <c r="L68" s="887">
        <v>17.489153501685415</v>
      </c>
      <c r="M68" s="853">
        <v>0.09970000000000001</v>
      </c>
      <c r="N68" s="853">
        <v>0.08</v>
      </c>
      <c r="O68" s="854">
        <v>0.08330981182795699</v>
      </c>
      <c r="P68" s="835">
        <v>45.42992841691316</v>
      </c>
      <c r="Q68" s="855">
        <v>24.91093222502768</v>
      </c>
      <c r="R68" s="855">
        <v>19.29294048180995</v>
      </c>
      <c r="S68" s="855">
        <v>11.012501428754492</v>
      </c>
      <c r="T68" s="855">
        <v>15.884286715265619</v>
      </c>
      <c r="U68" s="835"/>
      <c r="V68" s="856">
        <v>35.95384060584205</v>
      </c>
      <c r="W68" s="856">
        <v>28.849621348719797</v>
      </c>
      <c r="X68" s="856">
        <v>30.043206573370714</v>
      </c>
      <c r="Y68" s="878"/>
      <c r="Z68" s="835"/>
      <c r="AA68" s="835"/>
      <c r="AB68" s="835"/>
      <c r="AC68" s="835"/>
      <c r="AD68" s="835"/>
      <c r="AE68" s="835"/>
      <c r="AF68" s="835"/>
      <c r="AG68" s="835"/>
      <c r="AH68" s="835"/>
      <c r="AI68" s="835"/>
      <c r="AJ68" s="835"/>
      <c r="AK68" s="835"/>
      <c r="AL68" s="835"/>
      <c r="AM68" s="835"/>
      <c r="AN68" s="835"/>
      <c r="AO68" s="835"/>
      <c r="AP68" s="835"/>
      <c r="AQ68" s="835"/>
      <c r="AR68" s="835"/>
      <c r="AS68" s="835"/>
      <c r="AT68" s="835"/>
      <c r="AU68" s="835"/>
      <c r="AV68" s="835"/>
      <c r="AW68" s="835"/>
      <c r="AX68" s="835"/>
      <c r="AY68" s="835"/>
      <c r="AZ68" s="835"/>
      <c r="BA68" s="835"/>
      <c r="BB68" s="835"/>
    </row>
    <row r="69" spans="1:54" ht="12.75">
      <c r="A69" s="835"/>
      <c r="B69" s="1008"/>
      <c r="C69" s="846" t="s">
        <v>155</v>
      </c>
      <c r="D69" s="846"/>
      <c r="E69" s="847">
        <v>0.060334185662621255</v>
      </c>
      <c r="F69" s="848">
        <v>2.775</v>
      </c>
      <c r="G69" s="847">
        <v>0.021742048887431083</v>
      </c>
      <c r="H69" s="849"/>
      <c r="I69" s="847">
        <v>30.096525096525095</v>
      </c>
      <c r="J69" s="851">
        <v>21.742048887431082</v>
      </c>
      <c r="K69" s="852"/>
      <c r="L69" s="887">
        <v>19.536263884733266</v>
      </c>
      <c r="M69" s="853">
        <v>0.09970000000000001</v>
      </c>
      <c r="N69" s="853">
        <v>0.08</v>
      </c>
      <c r="O69" s="854">
        <v>0.08351785714285714</v>
      </c>
      <c r="P69" s="835">
        <v>45.191590201522736</v>
      </c>
      <c r="Q69" s="855">
        <v>32.41873332972036</v>
      </c>
      <c r="R69" s="855">
        <v>25.14974088029851</v>
      </c>
      <c r="S69" s="855">
        <v>10.67174180110618</v>
      </c>
      <c r="T69" s="855">
        <v>19.14695235421005</v>
      </c>
      <c r="U69" s="835"/>
      <c r="V69" s="856">
        <v>35.92792792792793</v>
      </c>
      <c r="W69" s="856">
        <v>28.82882882882883</v>
      </c>
      <c r="X69" s="856">
        <v>30.0965250965251</v>
      </c>
      <c r="Y69" s="878"/>
      <c r="Z69" s="835"/>
      <c r="AA69" s="835"/>
      <c r="AB69" s="835"/>
      <c r="AC69" s="835"/>
      <c r="AD69" s="835"/>
      <c r="AE69" s="835"/>
      <c r="AF69" s="835"/>
      <c r="AG69" s="835"/>
      <c r="AH69" s="835"/>
      <c r="AI69" s="835"/>
      <c r="AJ69" s="835"/>
      <c r="AK69" s="835"/>
      <c r="AL69" s="835"/>
      <c r="AM69" s="835"/>
      <c r="AN69" s="835"/>
      <c r="AO69" s="835"/>
      <c r="AP69" s="835"/>
      <c r="AQ69" s="835"/>
      <c r="AR69" s="835"/>
      <c r="AS69" s="835"/>
      <c r="AT69" s="835"/>
      <c r="AU69" s="835"/>
      <c r="AV69" s="835"/>
      <c r="AW69" s="835"/>
      <c r="AX69" s="835"/>
      <c r="AY69" s="835"/>
      <c r="AZ69" s="835"/>
      <c r="BA69" s="835"/>
      <c r="BB69" s="835"/>
    </row>
    <row r="70" spans="1:54" ht="12.75">
      <c r="A70" s="835"/>
      <c r="B70" s="1008"/>
      <c r="C70" s="846" t="s">
        <v>159</v>
      </c>
      <c r="D70" s="846">
        <v>40603</v>
      </c>
      <c r="E70" s="847">
        <v>0.06066172534597207</v>
      </c>
      <c r="F70" s="848">
        <v>2.805</v>
      </c>
      <c r="G70" s="847">
        <v>0.021626283545801095</v>
      </c>
      <c r="H70" s="849"/>
      <c r="I70" s="847">
        <v>29.7948651601403</v>
      </c>
      <c r="J70" s="851">
        <v>21.626283545801094</v>
      </c>
      <c r="K70" s="852"/>
      <c r="L70" s="887">
        <v>20.264233751767396</v>
      </c>
      <c r="M70" s="853">
        <v>0.09970000000000001</v>
      </c>
      <c r="N70" s="853">
        <v>0.08</v>
      </c>
      <c r="O70" s="854">
        <v>0.08357459677419356</v>
      </c>
      <c r="P70" s="835">
        <v>44.931227115794655</v>
      </c>
      <c r="Q70" s="855">
        <v>34.790391398760995</v>
      </c>
      <c r="R70" s="855">
        <v>24.50285975859877</v>
      </c>
      <c r="S70" s="855">
        <v>9.705674171907765</v>
      </c>
      <c r="T70" s="855">
        <v>18.345505776383938</v>
      </c>
      <c r="U70" s="835"/>
      <c r="V70" s="856">
        <v>35.54367201426025</v>
      </c>
      <c r="W70" s="856">
        <v>28.520499108734402</v>
      </c>
      <c r="X70" s="856">
        <v>29.794865160140304</v>
      </c>
      <c r="Y70" s="878"/>
      <c r="Z70" s="835"/>
      <c r="AA70" s="835"/>
      <c r="AB70" s="835"/>
      <c r="AC70" s="835"/>
      <c r="AD70" s="835"/>
      <c r="AE70" s="835"/>
      <c r="AF70" s="835"/>
      <c r="AG70" s="835"/>
      <c r="AH70" s="835"/>
      <c r="AI70" s="835"/>
      <c r="AJ70" s="835"/>
      <c r="AK70" s="835"/>
      <c r="AL70" s="835"/>
      <c r="AM70" s="835"/>
      <c r="AN70" s="835"/>
      <c r="AO70" s="835"/>
      <c r="AP70" s="835"/>
      <c r="AQ70" s="835"/>
      <c r="AR70" s="835"/>
      <c r="AS70" s="835"/>
      <c r="AT70" s="835"/>
      <c r="AU70" s="835"/>
      <c r="AV70" s="835"/>
      <c r="AW70" s="835"/>
      <c r="AX70" s="835"/>
      <c r="AY70" s="835"/>
      <c r="AZ70" s="835"/>
      <c r="BA70" s="835"/>
      <c r="BB70" s="835"/>
    </row>
    <row r="71" spans="1:54" ht="12.75">
      <c r="A71" s="835"/>
      <c r="B71" s="1008"/>
      <c r="C71" s="846" t="s">
        <v>161</v>
      </c>
      <c r="D71" s="846"/>
      <c r="E71" s="847">
        <v>0.05053915856758178</v>
      </c>
      <c r="F71" s="848">
        <v>2.821</v>
      </c>
      <c r="G71" s="847">
        <v>0.017915334479823387</v>
      </c>
      <c r="H71" s="849"/>
      <c r="I71" s="847">
        <v>31.03474930087833</v>
      </c>
      <c r="J71" s="851">
        <v>17.915334479823386</v>
      </c>
      <c r="K71" s="852"/>
      <c r="L71" s="887">
        <v>19.678539888468528</v>
      </c>
      <c r="M71" s="853">
        <v>0.10501</v>
      </c>
      <c r="N71" s="853">
        <v>0.08423</v>
      </c>
      <c r="O71" s="854">
        <v>0.08754902777777777</v>
      </c>
      <c r="P71" s="835"/>
      <c r="Q71" s="855">
        <v>28.504131311093403</v>
      </c>
      <c r="R71" s="855">
        <v>20.00131214158887</v>
      </c>
      <c r="S71" s="855">
        <v>9.027383363408132</v>
      </c>
      <c r="T71" s="855">
        <v>15.48918261453112</v>
      </c>
      <c r="U71" s="835"/>
      <c r="V71" s="856">
        <v>37.224388514711094</v>
      </c>
      <c r="W71" s="856">
        <v>29.85820630981921</v>
      </c>
      <c r="X71" s="856">
        <v>31.034749300878328</v>
      </c>
      <c r="Y71" s="878"/>
      <c r="Z71" s="835"/>
      <c r="AA71" s="835"/>
      <c r="AB71" s="835"/>
      <c r="AC71" s="835"/>
      <c r="AD71" s="835"/>
      <c r="AE71" s="835"/>
      <c r="AF71" s="835"/>
      <c r="AG71" s="835"/>
      <c r="AH71" s="835"/>
      <c r="AI71" s="835"/>
      <c r="AJ71" s="835"/>
      <c r="AK71" s="835"/>
      <c r="AL71" s="835"/>
      <c r="AM71" s="835"/>
      <c r="AN71" s="835"/>
      <c r="AO71" s="835"/>
      <c r="AP71" s="835"/>
      <c r="AQ71" s="835"/>
      <c r="AR71" s="835"/>
      <c r="AS71" s="835"/>
      <c r="AT71" s="835"/>
      <c r="AU71" s="835"/>
      <c r="AV71" s="835"/>
      <c r="AW71" s="835"/>
      <c r="AX71" s="835"/>
      <c r="AY71" s="835"/>
      <c r="AZ71" s="835"/>
      <c r="BA71" s="835"/>
      <c r="BB71" s="835"/>
    </row>
    <row r="72" spans="1:54" ht="12.75">
      <c r="A72" s="835"/>
      <c r="B72" s="1008"/>
      <c r="C72" s="846" t="s">
        <v>163</v>
      </c>
      <c r="D72" s="846">
        <v>40664</v>
      </c>
      <c r="E72" s="847">
        <v>0.05198472219700549</v>
      </c>
      <c r="F72" s="848">
        <v>2.767</v>
      </c>
      <c r="G72" s="847">
        <v>0.018787395083847306</v>
      </c>
      <c r="H72" s="849"/>
      <c r="I72" s="847">
        <v>34.17484815402179</v>
      </c>
      <c r="J72" s="851">
        <v>18.787395083847304</v>
      </c>
      <c r="K72" s="852"/>
      <c r="L72" s="887">
        <v>19.49525882856816</v>
      </c>
      <c r="M72" s="853">
        <v>0.09793225806451614</v>
      </c>
      <c r="N72" s="853">
        <v>0.09384819096774193</v>
      </c>
      <c r="O72" s="854">
        <v>0.09456180484217828</v>
      </c>
      <c r="P72" s="835"/>
      <c r="Q72" s="855">
        <v>25.0173102413004</v>
      </c>
      <c r="R72" s="855">
        <v>19.334063094475294</v>
      </c>
      <c r="S72" s="855">
        <v>14.369618236639932</v>
      </c>
      <c r="T72" s="855">
        <v>17.269179665966952</v>
      </c>
      <c r="U72" s="835"/>
      <c r="V72" s="856">
        <v>35.392937500728635</v>
      </c>
      <c r="W72" s="856">
        <v>33.91694650081023</v>
      </c>
      <c r="X72" s="856">
        <v>34.17484815402179</v>
      </c>
      <c r="Y72" s="878"/>
      <c r="Z72" s="835"/>
      <c r="AA72" s="835"/>
      <c r="AB72" s="835"/>
      <c r="AC72" s="835"/>
      <c r="AD72" s="835"/>
      <c r="AE72" s="835"/>
      <c r="AF72" s="835"/>
      <c r="AG72" s="835"/>
      <c r="AH72" s="835"/>
      <c r="AI72" s="835"/>
      <c r="AJ72" s="835"/>
      <c r="AK72" s="835"/>
      <c r="AL72" s="835"/>
      <c r="AM72" s="835"/>
      <c r="AN72" s="835"/>
      <c r="AO72" s="835"/>
      <c r="AP72" s="835"/>
      <c r="AQ72" s="835"/>
      <c r="AR72" s="835"/>
      <c r="AS72" s="835"/>
      <c r="AT72" s="835"/>
      <c r="AU72" s="835"/>
      <c r="AV72" s="835"/>
      <c r="AW72" s="835"/>
      <c r="AX72" s="835"/>
      <c r="AY72" s="835"/>
      <c r="AZ72" s="835"/>
      <c r="BA72" s="835"/>
      <c r="BB72" s="835"/>
    </row>
    <row r="73" spans="1:54" ht="12.75">
      <c r="A73" s="835"/>
      <c r="B73" s="1008"/>
      <c r="C73" s="846" t="s">
        <v>164</v>
      </c>
      <c r="D73" s="846"/>
      <c r="E73" s="850">
        <v>0.07110378484154557</v>
      </c>
      <c r="F73" s="850">
        <v>2.75</v>
      </c>
      <c r="G73" s="850">
        <v>0.025855921760562027</v>
      </c>
      <c r="H73" s="850"/>
      <c r="I73" s="850">
        <v>34.41270053030303</v>
      </c>
      <c r="J73" s="850">
        <v>25.855921760562026</v>
      </c>
      <c r="K73" s="872"/>
      <c r="L73" s="872">
        <v>20.5573814840961</v>
      </c>
      <c r="M73" s="872">
        <v>0.09804921</v>
      </c>
      <c r="N73" s="872">
        <v>0.09391764</v>
      </c>
      <c r="O73" s="872">
        <v>0.09463492645833332</v>
      </c>
      <c r="P73" s="872"/>
      <c r="Q73" s="872">
        <v>29.4879425059955</v>
      </c>
      <c r="R73" s="872">
        <v>27.896330879397134</v>
      </c>
      <c r="S73" s="872">
        <v>20.87454017120993</v>
      </c>
      <c r="T73" s="872">
        <v>24.979963326666148</v>
      </c>
      <c r="U73" s="872"/>
      <c r="V73" s="872">
        <v>35.65425818181818</v>
      </c>
      <c r="W73" s="872">
        <v>34.15186909090909</v>
      </c>
      <c r="X73" s="872">
        <v>34.41270053030303</v>
      </c>
      <c r="Y73" s="878"/>
      <c r="Z73" s="835"/>
      <c r="AA73" s="835"/>
      <c r="AB73" s="835"/>
      <c r="AC73" s="835"/>
      <c r="AD73" s="835"/>
      <c r="AE73" s="835"/>
      <c r="AF73" s="835"/>
      <c r="AG73" s="835"/>
      <c r="AH73" s="835"/>
      <c r="AI73" s="835"/>
      <c r="AJ73" s="835"/>
      <c r="AK73" s="835"/>
      <c r="AL73" s="835"/>
      <c r="AM73" s="835"/>
      <c r="AN73" s="835"/>
      <c r="AO73" s="835"/>
      <c r="AP73" s="835"/>
      <c r="AQ73" s="835"/>
      <c r="AR73" s="835"/>
      <c r="AS73" s="835"/>
      <c r="AT73" s="835"/>
      <c r="AU73" s="835"/>
      <c r="AV73" s="835"/>
      <c r="AW73" s="835"/>
      <c r="AX73" s="835"/>
      <c r="AY73" s="835"/>
      <c r="AZ73" s="835"/>
      <c r="BA73" s="835"/>
      <c r="BB73" s="835"/>
    </row>
    <row r="74" spans="1:54" ht="12.75">
      <c r="A74" s="835"/>
      <c r="B74" s="1008"/>
      <c r="C74" s="846" t="s">
        <v>165</v>
      </c>
      <c r="D74" s="846">
        <v>40725</v>
      </c>
      <c r="E74" s="850">
        <v>0.05598652726443195</v>
      </c>
      <c r="F74" s="850">
        <v>2.738</v>
      </c>
      <c r="G74" s="850">
        <v>0.020447964669259296</v>
      </c>
      <c r="H74" s="850"/>
      <c r="I74" s="850">
        <v>34.54493143099507</v>
      </c>
      <c r="J74" s="850">
        <v>20.447964669259296</v>
      </c>
      <c r="K74" s="872"/>
      <c r="L74" s="872">
        <v>20.541565327215988</v>
      </c>
      <c r="M74" s="872">
        <v>0.09804921</v>
      </c>
      <c r="N74" s="872">
        <v>0.09391764</v>
      </c>
      <c r="O74" s="872">
        <v>0.0945840222580645</v>
      </c>
      <c r="P74" s="872"/>
      <c r="Q74" s="872">
        <v>25.96211829393523</v>
      </c>
      <c r="R74" s="872">
        <v>22.35644241253015</v>
      </c>
      <c r="S74" s="872">
        <v>14.691854892797782</v>
      </c>
      <c r="T74" s="872">
        <v>19.225183984121603</v>
      </c>
      <c r="U74" s="872"/>
      <c r="V74" s="872">
        <v>35.810522279035794</v>
      </c>
      <c r="W74" s="872">
        <v>34.30154857560263</v>
      </c>
      <c r="X74" s="872">
        <v>34.54493143099507</v>
      </c>
      <c r="Y74" s="878"/>
      <c r="Z74" s="835"/>
      <c r="AA74" s="835"/>
      <c r="AB74" s="835"/>
      <c r="AC74" s="835"/>
      <c r="AD74" s="835"/>
      <c r="AE74" s="835"/>
      <c r="AF74" s="835"/>
      <c r="AG74" s="835"/>
      <c r="AH74" s="835"/>
      <c r="AI74" s="835"/>
      <c r="AJ74" s="835"/>
      <c r="AK74" s="835"/>
      <c r="AL74" s="835"/>
      <c r="AM74" s="835"/>
      <c r="AN74" s="835"/>
      <c r="AO74" s="835"/>
      <c r="AP74" s="835"/>
      <c r="AQ74" s="835"/>
      <c r="AR74" s="835"/>
      <c r="AS74" s="835"/>
      <c r="AT74" s="835"/>
      <c r="AU74" s="835"/>
      <c r="AV74" s="835"/>
      <c r="AW74" s="835"/>
      <c r="AX74" s="835"/>
      <c r="AY74" s="835"/>
      <c r="AZ74" s="835"/>
      <c r="BA74" s="835"/>
      <c r="BB74" s="835"/>
    </row>
    <row r="75" spans="1:54" ht="12.75">
      <c r="A75" s="835"/>
      <c r="B75" s="1008"/>
      <c r="C75" s="846" t="s">
        <v>166</v>
      </c>
      <c r="D75" s="846"/>
      <c r="E75" s="850">
        <v>0.08593792412650697</v>
      </c>
      <c r="F75" s="850">
        <v>2.727</v>
      </c>
      <c r="G75" s="850">
        <v>0.03151372355207443</v>
      </c>
      <c r="H75" s="850"/>
      <c r="I75" s="850">
        <v>34.70464030542839</v>
      </c>
      <c r="J75" s="850">
        <v>31.513723552074428</v>
      </c>
      <c r="K75" s="872"/>
      <c r="L75" s="872">
        <v>21.949221133480982</v>
      </c>
      <c r="M75" s="872">
        <v>0.09804921</v>
      </c>
      <c r="N75" s="872">
        <v>0.09391764</v>
      </c>
      <c r="O75" s="872">
        <v>0.09463955411290323</v>
      </c>
      <c r="P75" s="872"/>
      <c r="Q75" s="872">
        <v>39.0457897747572</v>
      </c>
      <c r="R75" s="872">
        <v>35.54196819503658</v>
      </c>
      <c r="S75" s="872">
        <v>21.440079203036973</v>
      </c>
      <c r="T75" s="872">
        <v>29.695650583857375</v>
      </c>
      <c r="U75" s="872"/>
      <c r="V75" s="872">
        <v>35.95497249724973</v>
      </c>
      <c r="W75" s="872">
        <v>34.43991199119912</v>
      </c>
      <c r="X75" s="872">
        <v>34.70464030542839</v>
      </c>
      <c r="Y75" s="878"/>
      <c r="Z75" s="835"/>
      <c r="AA75" s="835"/>
      <c r="AB75" s="835"/>
      <c r="AC75" s="835"/>
      <c r="AD75" s="835"/>
      <c r="AE75" s="835"/>
      <c r="AF75" s="835"/>
      <c r="AG75" s="835"/>
      <c r="AH75" s="835"/>
      <c r="AI75" s="835"/>
      <c r="AJ75" s="835"/>
      <c r="AK75" s="835"/>
      <c r="AL75" s="835"/>
      <c r="AM75" s="835"/>
      <c r="AN75" s="835"/>
      <c r="AO75" s="835"/>
      <c r="AP75" s="835"/>
      <c r="AQ75" s="835"/>
      <c r="AR75" s="835"/>
      <c r="AS75" s="835"/>
      <c r="AT75" s="835"/>
      <c r="AU75" s="835"/>
      <c r="AV75" s="835"/>
      <c r="AW75" s="835"/>
      <c r="AX75" s="835"/>
      <c r="AY75" s="835"/>
      <c r="AZ75" s="835"/>
      <c r="BA75" s="835"/>
      <c r="BB75" s="835"/>
    </row>
    <row r="76" spans="1:54" ht="12.75">
      <c r="A76" s="835"/>
      <c r="B76" s="1008"/>
      <c r="C76" s="846" t="s">
        <v>167</v>
      </c>
      <c r="D76" s="846">
        <v>40787</v>
      </c>
      <c r="E76" s="850">
        <v>0.09324344841506312</v>
      </c>
      <c r="F76" s="850">
        <v>2.773</v>
      </c>
      <c r="G76" s="850">
        <v>0.033625477250293224</v>
      </c>
      <c r="H76" s="850"/>
      <c r="I76" s="850">
        <v>34.137619154946506</v>
      </c>
      <c r="J76" s="850">
        <v>33.62547725029322</v>
      </c>
      <c r="K76" s="872"/>
      <c r="L76" s="872">
        <v>23.246452269240557</v>
      </c>
      <c r="M76" s="872">
        <v>0.09804921</v>
      </c>
      <c r="N76" s="872">
        <v>0.09391764</v>
      </c>
      <c r="O76" s="872">
        <v>0.09466361791666666</v>
      </c>
      <c r="P76" s="872"/>
      <c r="Q76" s="872">
        <v>44.283733536517715</v>
      </c>
      <c r="R76" s="872">
        <v>38.45217001824838</v>
      </c>
      <c r="S76" s="872">
        <v>20.45692858973491</v>
      </c>
      <c r="T76" s="872">
        <v>30.930430392347482</v>
      </c>
      <c r="U76" s="872"/>
      <c r="V76" s="872">
        <v>35.35853227551388</v>
      </c>
      <c r="W76" s="872">
        <v>33.86860439956725</v>
      </c>
      <c r="X76" s="872">
        <v>34.137619154946506</v>
      </c>
      <c r="Y76" s="878"/>
      <c r="Z76" s="835"/>
      <c r="AA76" s="835"/>
      <c r="AB76" s="835"/>
      <c r="AC76" s="835"/>
      <c r="AD76" s="835"/>
      <c r="AE76" s="835"/>
      <c r="AF76" s="835"/>
      <c r="AG76" s="835"/>
      <c r="AH76" s="835"/>
      <c r="AI76" s="835"/>
      <c r="AJ76" s="835"/>
      <c r="AK76" s="835"/>
      <c r="AL76" s="835"/>
      <c r="AM76" s="835"/>
      <c r="AN76" s="835"/>
      <c r="AO76" s="835"/>
      <c r="AP76" s="835"/>
      <c r="AQ76" s="835"/>
      <c r="AR76" s="835"/>
      <c r="AS76" s="835"/>
      <c r="AT76" s="835"/>
      <c r="AU76" s="835"/>
      <c r="AV76" s="835"/>
      <c r="AW76" s="835"/>
      <c r="AX76" s="835"/>
      <c r="AY76" s="835"/>
      <c r="AZ76" s="835"/>
      <c r="BA76" s="835"/>
      <c r="BB76" s="835"/>
    </row>
    <row r="77" spans="1:54" ht="12.75">
      <c r="A77" s="835"/>
      <c r="B77" s="1008"/>
      <c r="C77" s="846" t="s">
        <v>168</v>
      </c>
      <c r="D77" s="846"/>
      <c r="E77" s="850">
        <v>0.07328301115144023</v>
      </c>
      <c r="F77" s="850">
        <v>2.708</v>
      </c>
      <c r="G77" s="850">
        <v>0.027061673246469804</v>
      </c>
      <c r="H77" s="850"/>
      <c r="I77" s="850">
        <v>34.94813667389336</v>
      </c>
      <c r="J77" s="850">
        <v>27.061673246469805</v>
      </c>
      <c r="K77" s="872"/>
      <c r="L77" s="872">
        <v>23.641143742409056</v>
      </c>
      <c r="M77" s="872">
        <v>0.09804921</v>
      </c>
      <c r="N77" s="872">
        <v>0.09391764</v>
      </c>
      <c r="O77" s="872">
        <v>0.09463955411290323</v>
      </c>
      <c r="P77" s="872"/>
      <c r="Q77" s="872">
        <v>37.049424417334315</v>
      </c>
      <c r="R77" s="872">
        <v>30.512559528340798</v>
      </c>
      <c r="S77" s="872">
        <v>16.53071601275428</v>
      </c>
      <c r="T77" s="872">
        <v>24.749581216667362</v>
      </c>
      <c r="U77" s="872"/>
      <c r="V77" s="872">
        <v>36.207241506646966</v>
      </c>
      <c r="W77" s="872">
        <v>34.681550960118166</v>
      </c>
      <c r="X77" s="872">
        <v>34.948136673893366</v>
      </c>
      <c r="Y77" s="878"/>
      <c r="Z77" s="835"/>
      <c r="AA77" s="835"/>
      <c r="AB77" s="835"/>
      <c r="AC77" s="835"/>
      <c r="AD77" s="835"/>
      <c r="AE77" s="835"/>
      <c r="AF77" s="835"/>
      <c r="AG77" s="835"/>
      <c r="AH77" s="835"/>
      <c r="AI77" s="835"/>
      <c r="AJ77" s="835"/>
      <c r="AK77" s="835"/>
      <c r="AL77" s="835"/>
      <c r="AM77" s="835"/>
      <c r="AN77" s="835"/>
      <c r="AO77" s="835"/>
      <c r="AP77" s="835"/>
      <c r="AQ77" s="835"/>
      <c r="AR77" s="835"/>
      <c r="AS77" s="835"/>
      <c r="AT77" s="835"/>
      <c r="AU77" s="835"/>
      <c r="AV77" s="835"/>
      <c r="AW77" s="835"/>
      <c r="AX77" s="835"/>
      <c r="AY77" s="835"/>
      <c r="AZ77" s="835"/>
      <c r="BA77" s="835"/>
      <c r="BB77" s="835"/>
    </row>
    <row r="78" spans="1:54" ht="12.75">
      <c r="A78" s="835"/>
      <c r="B78" s="1008"/>
      <c r="C78" s="846" t="s">
        <v>169</v>
      </c>
      <c r="D78" s="846">
        <v>40848</v>
      </c>
      <c r="E78" s="850">
        <v>0.07715657660783898</v>
      </c>
      <c r="F78" s="850">
        <v>2.7</v>
      </c>
      <c r="G78" s="850">
        <v>0.028576509854755176</v>
      </c>
      <c r="H78" s="850"/>
      <c r="I78" s="850">
        <v>35.049972762345675</v>
      </c>
      <c r="J78" s="850">
        <v>28.576509854755177</v>
      </c>
      <c r="K78" s="872"/>
      <c r="L78" s="872">
        <v>23.876667417638043</v>
      </c>
      <c r="M78" s="872">
        <v>0.09804921</v>
      </c>
      <c r="N78" s="872">
        <v>0.09391764</v>
      </c>
      <c r="O78" s="872">
        <v>0.09463492645833332</v>
      </c>
      <c r="P78" s="872"/>
      <c r="Q78" s="872">
        <v>35.84532441039007</v>
      </c>
      <c r="R78" s="872">
        <v>33.92667661110453</v>
      </c>
      <c r="S78" s="872">
        <v>16.81971458324836</v>
      </c>
      <c r="T78" s="872">
        <v>26.83151352277337</v>
      </c>
      <c r="U78" s="872"/>
      <c r="V78" s="872">
        <v>36.31452222222222</v>
      </c>
      <c r="W78" s="872">
        <v>34.7843111111111</v>
      </c>
      <c r="X78" s="872">
        <v>35.049972762345675</v>
      </c>
      <c r="Y78" s="878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  <c r="AJ78" s="835"/>
      <c r="AK78" s="835"/>
      <c r="AL78" s="835"/>
      <c r="AM78" s="835"/>
      <c r="AN78" s="835"/>
      <c r="AO78" s="835"/>
      <c r="AP78" s="835"/>
      <c r="AQ78" s="835"/>
      <c r="AR78" s="835"/>
      <c r="AS78" s="835"/>
      <c r="AT78" s="835"/>
      <c r="AU78" s="835"/>
      <c r="AV78" s="835"/>
      <c r="AW78" s="835"/>
      <c r="AX78" s="835"/>
      <c r="AY78" s="835"/>
      <c r="AZ78" s="835"/>
      <c r="BA78" s="835"/>
      <c r="BB78" s="835"/>
    </row>
    <row r="79" spans="1:54" ht="13.5" thickBot="1">
      <c r="A79" s="835"/>
      <c r="B79" s="1009"/>
      <c r="C79" s="870" t="s">
        <v>170</v>
      </c>
      <c r="D79" s="870"/>
      <c r="E79" s="871">
        <v>0.058180072108915355</v>
      </c>
      <c r="F79" s="871">
        <v>2.697</v>
      </c>
      <c r="G79" s="871">
        <v>0.021572143903935987</v>
      </c>
      <c r="H79" s="871"/>
      <c r="I79" s="871">
        <v>35.07008611719114</v>
      </c>
      <c r="J79" s="871">
        <v>21.572143903935988</v>
      </c>
      <c r="K79" s="872"/>
      <c r="L79" s="872">
        <v>23.876667417638043</v>
      </c>
      <c r="M79" s="872">
        <v>0.09804921</v>
      </c>
      <c r="N79" s="872">
        <v>0.09391764</v>
      </c>
      <c r="O79" s="872">
        <v>0.0945840222580645</v>
      </c>
      <c r="P79" s="872"/>
      <c r="Q79" s="872">
        <v>34.555815771047776</v>
      </c>
      <c r="R79" s="872">
        <v>24.495942841441536</v>
      </c>
      <c r="S79" s="872">
        <v>9.928082982004973</v>
      </c>
      <c r="T79" s="872">
        <v>18.43223392759859</v>
      </c>
      <c r="U79" s="872"/>
      <c r="V79" s="872">
        <v>36.35491657397108</v>
      </c>
      <c r="W79" s="872">
        <v>34.82300333704116</v>
      </c>
      <c r="X79" s="872">
        <v>35.07008611719114</v>
      </c>
      <c r="Y79" s="878"/>
      <c r="Z79" s="835"/>
      <c r="AA79" s="835"/>
      <c r="AB79" s="835"/>
      <c r="AC79" s="835"/>
      <c r="AD79" s="835"/>
      <c r="AE79" s="835"/>
      <c r="AF79" s="835"/>
      <c r="AG79" s="835"/>
      <c r="AH79" s="835"/>
      <c r="AI79" s="835"/>
      <c r="AJ79" s="835"/>
      <c r="AK79" s="835"/>
      <c r="AL79" s="835"/>
      <c r="AM79" s="835"/>
      <c r="AN79" s="835"/>
      <c r="AO79" s="835"/>
      <c r="AP79" s="835"/>
      <c r="AQ79" s="835"/>
      <c r="AR79" s="835"/>
      <c r="AS79" s="835"/>
      <c r="AT79" s="835"/>
      <c r="AU79" s="835"/>
      <c r="AV79" s="835"/>
      <c r="AW79" s="835"/>
      <c r="AX79" s="835"/>
      <c r="AY79" s="835"/>
      <c r="AZ79" s="835"/>
      <c r="BA79" s="835"/>
      <c r="BB79" s="835"/>
    </row>
    <row r="80" spans="1:54" ht="12.75">
      <c r="A80" s="835"/>
      <c r="B80" s="1007">
        <v>2012</v>
      </c>
      <c r="C80" s="875" t="s">
        <v>150</v>
      </c>
      <c r="D80" s="875">
        <v>40909</v>
      </c>
      <c r="E80" s="882">
        <v>0.05630514747037326</v>
      </c>
      <c r="F80" s="883">
        <v>2.691</v>
      </c>
      <c r="G80" s="882">
        <v>0.02092350333347204</v>
      </c>
      <c r="H80" s="884"/>
      <c r="I80" s="882">
        <v>35.15859835952578</v>
      </c>
      <c r="J80" s="890">
        <v>20.92350333347204</v>
      </c>
      <c r="K80" s="874"/>
      <c r="L80" s="874"/>
      <c r="M80" s="874"/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4"/>
      <c r="Y80" s="878"/>
      <c r="Z80" s="835"/>
      <c r="AA80" s="835"/>
      <c r="AB80" s="835"/>
      <c r="AC80" s="835"/>
      <c r="AD80" s="835"/>
      <c r="AE80" s="835"/>
      <c r="AF80" s="835"/>
      <c r="AG80" s="835"/>
      <c r="AH80" s="835"/>
      <c r="AI80" s="835"/>
      <c r="AJ80" s="835"/>
      <c r="AK80" s="835"/>
      <c r="AL80" s="835"/>
      <c r="AM80" s="835"/>
      <c r="AN80" s="835"/>
      <c r="AO80" s="835"/>
      <c r="AP80" s="835"/>
      <c r="AQ80" s="835"/>
      <c r="AR80" s="835"/>
      <c r="AS80" s="835"/>
      <c r="AT80" s="835"/>
      <c r="AU80" s="835"/>
      <c r="AV80" s="835"/>
      <c r="AW80" s="835"/>
      <c r="AX80" s="835"/>
      <c r="AY80" s="835"/>
      <c r="AZ80" s="835"/>
      <c r="BA80" s="835"/>
      <c r="BB80" s="835"/>
    </row>
    <row r="81" spans="1:54" ht="12.75">
      <c r="A81" s="835"/>
      <c r="B81" s="1008"/>
      <c r="C81" s="846" t="s">
        <v>155</v>
      </c>
      <c r="D81" s="846"/>
      <c r="E81" s="847">
        <v>0.06234703677540768</v>
      </c>
      <c r="F81" s="848">
        <v>2.678</v>
      </c>
      <c r="G81" s="847">
        <v>0.023281193717478596</v>
      </c>
      <c r="H81" s="849"/>
      <c r="I81" s="847">
        <v>35.347147301769205</v>
      </c>
      <c r="J81" s="851">
        <v>23.281193717478597</v>
      </c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8"/>
      <c r="Z81" s="835"/>
      <c r="AA81" s="835"/>
      <c r="AB81" s="835"/>
      <c r="AC81" s="835"/>
      <c r="AD81" s="835"/>
      <c r="AE81" s="835"/>
      <c r="AF81" s="835"/>
      <c r="AG81" s="835"/>
      <c r="AH81" s="835"/>
      <c r="AI81" s="835"/>
      <c r="AJ81" s="835"/>
      <c r="AK81" s="835"/>
      <c r="AL81" s="835"/>
      <c r="AM81" s="835"/>
      <c r="AN81" s="835"/>
      <c r="AO81" s="835"/>
      <c r="AP81" s="835"/>
      <c r="AQ81" s="835"/>
      <c r="AR81" s="835"/>
      <c r="AS81" s="835"/>
      <c r="AT81" s="835"/>
      <c r="AU81" s="835"/>
      <c r="AV81" s="835"/>
      <c r="AW81" s="835"/>
      <c r="AX81" s="835"/>
      <c r="AY81" s="835"/>
      <c r="AZ81" s="835"/>
      <c r="BA81" s="835"/>
      <c r="BB81" s="835"/>
    </row>
    <row r="82" spans="1:54" ht="12.75">
      <c r="A82" s="835"/>
      <c r="B82" s="1008"/>
      <c r="C82" s="846" t="s">
        <v>159</v>
      </c>
      <c r="D82" s="846">
        <v>40969</v>
      </c>
      <c r="E82" s="847">
        <v>0.1018337995632124</v>
      </c>
      <c r="F82" s="848">
        <v>2.668</v>
      </c>
      <c r="G82" s="847">
        <v>0.03816859054093418</v>
      </c>
      <c r="H82" s="849"/>
      <c r="I82" s="847">
        <v>34.62244852036347</v>
      </c>
      <c r="J82" s="851">
        <v>38.16859054093418</v>
      </c>
      <c r="K82" s="835"/>
      <c r="L82" s="835"/>
      <c r="M82" s="878"/>
      <c r="N82" s="878"/>
      <c r="O82" s="878"/>
      <c r="P82" s="878"/>
      <c r="Q82" s="878"/>
      <c r="R82" s="878"/>
      <c r="S82" s="878"/>
      <c r="T82" s="878"/>
      <c r="U82" s="878"/>
      <c r="V82" s="878"/>
      <c r="W82" s="878"/>
      <c r="X82" s="878"/>
      <c r="Y82" s="878"/>
      <c r="Z82" s="835"/>
      <c r="AA82" s="835"/>
      <c r="AB82" s="835"/>
      <c r="AC82" s="835"/>
      <c r="AD82" s="835"/>
      <c r="AE82" s="835"/>
      <c r="AF82" s="835"/>
      <c r="AG82" s="835"/>
      <c r="AH82" s="835"/>
      <c r="AI82" s="835"/>
      <c r="AJ82" s="835"/>
      <c r="AK82" s="835"/>
      <c r="AL82" s="835"/>
      <c r="AM82" s="835"/>
      <c r="AN82" s="835"/>
      <c r="AO82" s="835"/>
      <c r="AP82" s="835"/>
      <c r="AQ82" s="835"/>
      <c r="AR82" s="835"/>
      <c r="AS82" s="835"/>
      <c r="AT82" s="835"/>
      <c r="AU82" s="835"/>
      <c r="AV82" s="835"/>
      <c r="AW82" s="835"/>
      <c r="AX82" s="835"/>
      <c r="AY82" s="835"/>
      <c r="AZ82" s="835"/>
      <c r="BA82" s="835"/>
      <c r="BB82" s="835"/>
    </row>
    <row r="83" spans="1:54" ht="12.75">
      <c r="A83" s="835"/>
      <c r="B83" s="1008"/>
      <c r="C83" s="846" t="s">
        <v>161</v>
      </c>
      <c r="D83" s="846"/>
      <c r="E83" s="847">
        <v>0.07045155727896091</v>
      </c>
      <c r="F83" s="848">
        <v>2.641</v>
      </c>
      <c r="G83" s="847">
        <v>0.02667609135894014</v>
      </c>
      <c r="H83" s="849"/>
      <c r="I83" s="847">
        <v>34.91061140900523</v>
      </c>
      <c r="J83" s="851">
        <v>26.67609135894014</v>
      </c>
      <c r="K83" s="835"/>
      <c r="L83" s="835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8"/>
      <c r="X83" s="878"/>
      <c r="Y83" s="878"/>
      <c r="Z83" s="835"/>
      <c r="AA83" s="835"/>
      <c r="AB83" s="835"/>
      <c r="AC83" s="835"/>
      <c r="AD83" s="835"/>
      <c r="AE83" s="835"/>
      <c r="AF83" s="835"/>
      <c r="AG83" s="835"/>
      <c r="AH83" s="835"/>
      <c r="AI83" s="835"/>
      <c r="AJ83" s="835"/>
      <c r="AK83" s="835"/>
      <c r="AL83" s="835"/>
      <c r="AM83" s="835"/>
      <c r="AN83" s="835"/>
      <c r="AO83" s="835"/>
      <c r="AP83" s="835"/>
      <c r="AQ83" s="835"/>
      <c r="AR83" s="835"/>
      <c r="AS83" s="835"/>
      <c r="AT83" s="835"/>
      <c r="AU83" s="835"/>
      <c r="AV83" s="835"/>
      <c r="AW83" s="835"/>
      <c r="AX83" s="835"/>
      <c r="AY83" s="835"/>
      <c r="AZ83" s="835"/>
      <c r="BA83" s="835"/>
      <c r="BB83" s="835"/>
    </row>
    <row r="84" spans="1:54" ht="12.75">
      <c r="A84" s="835"/>
      <c r="B84" s="1008"/>
      <c r="C84" s="846" t="s">
        <v>163</v>
      </c>
      <c r="D84" s="846">
        <v>41030</v>
      </c>
      <c r="E84" s="847">
        <v>0.07364459881128668</v>
      </c>
      <c r="F84" s="848">
        <v>2.71</v>
      </c>
      <c r="G84" s="847">
        <v>0.027175128712651913</v>
      </c>
      <c r="H84" s="849"/>
      <c r="I84" s="847">
        <v>39.67506748428566</v>
      </c>
      <c r="J84" s="851">
        <v>27.17512871265191</v>
      </c>
      <c r="K84" s="835"/>
      <c r="L84" s="835"/>
      <c r="M84" s="891"/>
      <c r="N84" s="835"/>
      <c r="O84" s="835"/>
      <c r="P84" s="835"/>
      <c r="Q84" s="835"/>
      <c r="R84" s="835"/>
      <c r="S84" s="835"/>
      <c r="T84" s="835"/>
      <c r="U84" s="835"/>
      <c r="V84" s="835"/>
      <c r="W84" s="835"/>
      <c r="X84" s="835"/>
      <c r="Y84" s="835"/>
      <c r="Z84" s="835"/>
      <c r="AA84" s="835"/>
      <c r="AB84" s="835"/>
      <c r="AC84" s="835"/>
      <c r="AD84" s="835"/>
      <c r="AE84" s="835"/>
      <c r="AF84" s="835"/>
      <c r="AG84" s="835"/>
      <c r="AH84" s="835"/>
      <c r="AI84" s="835"/>
      <c r="AJ84" s="835"/>
      <c r="AK84" s="835"/>
      <c r="AL84" s="835"/>
      <c r="AM84" s="835"/>
      <c r="AN84" s="835"/>
      <c r="AO84" s="835"/>
      <c r="AP84" s="835"/>
      <c r="AQ84" s="835"/>
      <c r="AR84" s="835"/>
      <c r="AS84" s="835"/>
      <c r="AT84" s="835"/>
      <c r="AU84" s="835"/>
      <c r="AV84" s="835"/>
      <c r="AW84" s="835"/>
      <c r="AX84" s="835"/>
      <c r="AY84" s="835"/>
      <c r="AZ84" s="835"/>
      <c r="BA84" s="835"/>
      <c r="BB84" s="835"/>
    </row>
    <row r="85" spans="1:54" ht="12.75">
      <c r="A85" s="835"/>
      <c r="B85" s="1008"/>
      <c r="C85" s="846" t="s">
        <v>164</v>
      </c>
      <c r="D85" s="846"/>
      <c r="E85" s="850">
        <v>0.1215915931357178</v>
      </c>
      <c r="F85" s="850">
        <v>2.671</v>
      </c>
      <c r="G85" s="850">
        <v>0.04552287275766297</v>
      </c>
      <c r="H85" s="850"/>
      <c r="I85" s="850">
        <v>40.19873954823412</v>
      </c>
      <c r="J85" s="850">
        <v>45.522872757662974</v>
      </c>
      <c r="K85" s="835"/>
      <c r="L85" s="835"/>
      <c r="M85" s="835"/>
      <c r="N85" s="835"/>
      <c r="O85" s="835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5"/>
      <c r="AA85" s="835"/>
      <c r="AB85" s="835"/>
      <c r="AC85" s="835"/>
      <c r="AD85" s="835"/>
      <c r="AE85" s="835"/>
      <c r="AF85" s="835"/>
      <c r="AG85" s="835"/>
      <c r="AH85" s="835"/>
      <c r="AI85" s="835"/>
      <c r="AJ85" s="835"/>
      <c r="AK85" s="835"/>
      <c r="AL85" s="835"/>
      <c r="AM85" s="835"/>
      <c r="AN85" s="835"/>
      <c r="AO85" s="835"/>
      <c r="AP85" s="835"/>
      <c r="AQ85" s="835"/>
      <c r="AR85" s="835"/>
      <c r="AS85" s="835"/>
      <c r="AT85" s="835"/>
      <c r="AU85" s="835"/>
      <c r="AV85" s="835"/>
      <c r="AW85" s="835"/>
      <c r="AX85" s="835"/>
      <c r="AY85" s="835"/>
      <c r="AZ85" s="835"/>
      <c r="BA85" s="835"/>
      <c r="BB85" s="835"/>
    </row>
    <row r="86" spans="1:54" ht="12.75">
      <c r="A86" s="835"/>
      <c r="B86" s="1008"/>
      <c r="C86" s="846" t="s">
        <v>165</v>
      </c>
      <c r="D86" s="846">
        <v>41091</v>
      </c>
      <c r="E86" s="850">
        <v>0.1526105768280836</v>
      </c>
      <c r="F86" s="850">
        <v>2.629</v>
      </c>
      <c r="G86" s="850">
        <v>0.058048907123652946</v>
      </c>
      <c r="H86" s="850"/>
      <c r="I86" s="850">
        <v>40.79313856611737</v>
      </c>
      <c r="J86" s="850">
        <v>58.048907123652945</v>
      </c>
      <c r="K86" s="835"/>
      <c r="L86" s="835"/>
      <c r="M86" s="878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835"/>
      <c r="AA86" s="835"/>
      <c r="AB86" s="835"/>
      <c r="AC86" s="835"/>
      <c r="AD86" s="835"/>
      <c r="AE86" s="835"/>
      <c r="AF86" s="835"/>
      <c r="AG86" s="835"/>
      <c r="AH86" s="835"/>
      <c r="AI86" s="835"/>
      <c r="AJ86" s="835"/>
      <c r="AK86" s="835"/>
      <c r="AL86" s="835"/>
      <c r="AM86" s="835"/>
      <c r="AN86" s="835"/>
      <c r="AO86" s="835"/>
      <c r="AP86" s="835"/>
      <c r="AQ86" s="835"/>
      <c r="AR86" s="835"/>
      <c r="AS86" s="835"/>
      <c r="AT86" s="835"/>
      <c r="AU86" s="835"/>
      <c r="AV86" s="835"/>
      <c r="AW86" s="835"/>
      <c r="AX86" s="835"/>
      <c r="AY86" s="835"/>
      <c r="AZ86" s="835"/>
      <c r="BA86" s="835"/>
      <c r="BB86" s="835"/>
    </row>
    <row r="87" spans="1:54" ht="12.75">
      <c r="A87" s="835"/>
      <c r="B87" s="1008"/>
      <c r="C87" s="846" t="s">
        <v>166</v>
      </c>
      <c r="D87" s="846"/>
      <c r="E87" s="850">
        <v>0.09158806415284833</v>
      </c>
      <c r="F87" s="850">
        <v>2.61</v>
      </c>
      <c r="G87" s="850">
        <v>0.03509121231909898</v>
      </c>
      <c r="H87" s="850"/>
      <c r="I87" s="850">
        <v>41.142627610925715</v>
      </c>
      <c r="J87" s="850">
        <v>35.09121231909898</v>
      </c>
      <c r="K87" s="835"/>
      <c r="L87" s="835"/>
      <c r="M87" s="878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5"/>
      <c r="AB87" s="835"/>
      <c r="AC87" s="835"/>
      <c r="AD87" s="835"/>
      <c r="AE87" s="835"/>
      <c r="AF87" s="835"/>
      <c r="AG87" s="835"/>
      <c r="AH87" s="835"/>
      <c r="AI87" s="835"/>
      <c r="AJ87" s="835"/>
      <c r="AK87" s="835"/>
      <c r="AL87" s="835"/>
      <c r="AM87" s="835"/>
      <c r="AN87" s="835"/>
      <c r="AO87" s="835"/>
      <c r="AP87" s="835"/>
      <c r="AQ87" s="835"/>
      <c r="AR87" s="835"/>
      <c r="AS87" s="835"/>
      <c r="AT87" s="835"/>
      <c r="AU87" s="835"/>
      <c r="AV87" s="835"/>
      <c r="AW87" s="835"/>
      <c r="AX87" s="835"/>
      <c r="AY87" s="835"/>
      <c r="AZ87" s="835"/>
      <c r="BA87" s="835"/>
      <c r="BB87" s="835"/>
    </row>
    <row r="88" spans="1:54" ht="12.75">
      <c r="A88" s="835"/>
      <c r="B88" s="1008"/>
      <c r="C88" s="846" t="s">
        <v>167</v>
      </c>
      <c r="D88" s="846">
        <v>41153</v>
      </c>
      <c r="E88" s="850">
        <v>0.09459059538402305</v>
      </c>
      <c r="F88" s="850">
        <v>2.598</v>
      </c>
      <c r="G88" s="850">
        <v>0.036409005151663995</v>
      </c>
      <c r="H88" s="850"/>
      <c r="I88" s="850">
        <v>41.35552989479087</v>
      </c>
      <c r="J88" s="850">
        <v>36.409005151664</v>
      </c>
      <c r="K88" s="835"/>
      <c r="L88" s="835"/>
      <c r="M88" s="878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  <c r="Y88" s="835"/>
      <c r="Z88" s="835"/>
      <c r="AA88" s="835"/>
      <c r="AB88" s="835"/>
      <c r="AC88" s="835"/>
      <c r="AD88" s="835"/>
      <c r="AE88" s="835"/>
      <c r="AF88" s="835"/>
      <c r="AG88" s="835"/>
      <c r="AH88" s="835"/>
      <c r="AI88" s="835"/>
      <c r="AJ88" s="835"/>
      <c r="AK88" s="835"/>
      <c r="AL88" s="835"/>
      <c r="AM88" s="835"/>
      <c r="AN88" s="835"/>
      <c r="AO88" s="835"/>
      <c r="AP88" s="835"/>
      <c r="AQ88" s="835"/>
      <c r="AR88" s="835"/>
      <c r="AS88" s="835"/>
      <c r="AT88" s="835"/>
      <c r="AU88" s="835"/>
      <c r="AV88" s="835"/>
      <c r="AW88" s="835"/>
      <c r="AX88" s="835"/>
      <c r="AY88" s="835"/>
      <c r="AZ88" s="835"/>
      <c r="BA88" s="835"/>
      <c r="BB88" s="835"/>
    </row>
    <row r="89" spans="1:54" ht="12.75">
      <c r="A89" s="835"/>
      <c r="B89" s="1008"/>
      <c r="C89" s="846" t="s">
        <v>168</v>
      </c>
      <c r="D89" s="846"/>
      <c r="E89" s="850">
        <v>0.07454865464712501</v>
      </c>
      <c r="F89" s="850">
        <v>2.592</v>
      </c>
      <c r="G89" s="850">
        <v>0.028761055033613044</v>
      </c>
      <c r="H89" s="850"/>
      <c r="I89" s="850">
        <v>41.45126028806584</v>
      </c>
      <c r="J89" s="850">
        <v>28.761055033613044</v>
      </c>
      <c r="K89" s="835"/>
      <c r="L89" s="835"/>
      <c r="M89" s="878"/>
      <c r="N89" s="835"/>
      <c r="O89" s="835"/>
      <c r="P89" s="835"/>
      <c r="Q89" s="835"/>
      <c r="R89" s="835"/>
      <c r="S89" s="835"/>
      <c r="T89" s="835"/>
      <c r="U89" s="835"/>
      <c r="V89" s="835"/>
      <c r="W89" s="835"/>
      <c r="X89" s="835"/>
      <c r="Y89" s="835"/>
      <c r="Z89" s="835"/>
      <c r="AA89" s="835"/>
      <c r="AB89" s="835"/>
      <c r="AC89" s="835"/>
      <c r="AD89" s="835"/>
      <c r="AE89" s="835"/>
      <c r="AF89" s="835"/>
      <c r="AG89" s="835"/>
      <c r="AH89" s="835"/>
      <c r="AI89" s="835"/>
      <c r="AJ89" s="835"/>
      <c r="AK89" s="835"/>
      <c r="AL89" s="835"/>
      <c r="AM89" s="835"/>
      <c r="AN89" s="835"/>
      <c r="AO89" s="835"/>
      <c r="AP89" s="835"/>
      <c r="AQ89" s="835"/>
      <c r="AR89" s="835"/>
      <c r="AS89" s="835"/>
      <c r="AT89" s="835"/>
      <c r="AU89" s="835"/>
      <c r="AV89" s="835"/>
      <c r="AW89" s="835"/>
      <c r="AX89" s="835"/>
      <c r="AY89" s="835"/>
      <c r="AZ89" s="835"/>
      <c r="BA89" s="835"/>
      <c r="BB89" s="835"/>
    </row>
    <row r="90" spans="1:54" ht="12.75">
      <c r="A90" s="835"/>
      <c r="B90" s="1008"/>
      <c r="C90" s="846" t="s">
        <v>169</v>
      </c>
      <c r="D90" s="846">
        <v>41214</v>
      </c>
      <c r="E90" s="850">
        <v>0.0370089724415418</v>
      </c>
      <c r="F90" s="850">
        <v>2.579</v>
      </c>
      <c r="G90" s="850">
        <v>0.014350125025801394</v>
      </c>
      <c r="H90" s="850"/>
      <c r="I90" s="850">
        <v>41.493149799663954</v>
      </c>
      <c r="J90" s="850">
        <v>14.350125025801393</v>
      </c>
      <c r="K90" s="835"/>
      <c r="L90" s="835"/>
      <c r="M90" s="878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5"/>
      <c r="AC90" s="835"/>
      <c r="AD90" s="835"/>
      <c r="AE90" s="835"/>
      <c r="AF90" s="835"/>
      <c r="AG90" s="835"/>
      <c r="AH90" s="835"/>
      <c r="AI90" s="835"/>
      <c r="AJ90" s="835"/>
      <c r="AK90" s="835"/>
      <c r="AL90" s="835"/>
      <c r="AM90" s="835"/>
      <c r="AN90" s="835"/>
      <c r="AO90" s="835"/>
      <c r="AP90" s="835"/>
      <c r="AQ90" s="835"/>
      <c r="AR90" s="835"/>
      <c r="AS90" s="835"/>
      <c r="AT90" s="835"/>
      <c r="AU90" s="835"/>
      <c r="AV90" s="835"/>
      <c r="AW90" s="835"/>
      <c r="AX90" s="835"/>
      <c r="AY90" s="835"/>
      <c r="AZ90" s="835"/>
      <c r="BA90" s="835"/>
      <c r="BB90" s="835"/>
    </row>
    <row r="91" spans="1:54" ht="13.5" thickBot="1">
      <c r="A91" s="835"/>
      <c r="B91" s="1009"/>
      <c r="C91" s="870" t="s">
        <v>170</v>
      </c>
      <c r="D91" s="870"/>
      <c r="E91" s="871">
        <v>0.03507716472062293</v>
      </c>
      <c r="F91" s="871">
        <v>2.551</v>
      </c>
      <c r="G91" s="871">
        <v>0.013750358573352774</v>
      </c>
      <c r="H91" s="871"/>
      <c r="I91" s="871">
        <v>41.883638294912814</v>
      </c>
      <c r="J91" s="871">
        <v>13.750358573352774</v>
      </c>
      <c r="K91" s="835"/>
      <c r="L91" s="835"/>
      <c r="M91" s="878"/>
      <c r="N91" s="835"/>
      <c r="O91" s="835"/>
      <c r="P91" s="835"/>
      <c r="Q91" s="835"/>
      <c r="R91" s="835"/>
      <c r="S91" s="835"/>
      <c r="T91" s="835"/>
      <c r="U91" s="835"/>
      <c r="V91" s="835"/>
      <c r="W91" s="835"/>
      <c r="X91" s="835"/>
      <c r="Y91" s="835"/>
      <c r="Z91" s="835"/>
      <c r="AA91" s="835"/>
      <c r="AB91" s="835"/>
      <c r="AC91" s="835"/>
      <c r="AD91" s="835"/>
      <c r="AE91" s="835"/>
      <c r="AF91" s="835"/>
      <c r="AG91" s="835"/>
      <c r="AH91" s="835"/>
      <c r="AI91" s="835"/>
      <c r="AJ91" s="835"/>
      <c r="AK91" s="835"/>
      <c r="AL91" s="835"/>
      <c r="AM91" s="835"/>
      <c r="AN91" s="835"/>
      <c r="AO91" s="835"/>
      <c r="AP91" s="835"/>
      <c r="AQ91" s="835"/>
      <c r="AR91" s="835"/>
      <c r="AS91" s="835"/>
      <c r="AT91" s="835"/>
      <c r="AU91" s="835"/>
      <c r="AV91" s="835"/>
      <c r="AW91" s="835"/>
      <c r="AX91" s="835"/>
      <c r="AY91" s="835"/>
      <c r="AZ91" s="835"/>
      <c r="BA91" s="835"/>
      <c r="BB91" s="835"/>
    </row>
    <row r="92" spans="1:54" ht="12.75">
      <c r="A92" s="835"/>
      <c r="B92" s="835"/>
      <c r="C92" s="835"/>
      <c r="D92" s="835"/>
      <c r="E92" s="835"/>
      <c r="F92" s="835"/>
      <c r="G92" s="835"/>
      <c r="H92" s="835"/>
      <c r="I92" s="835"/>
      <c r="J92" s="835"/>
      <c r="K92" s="835"/>
      <c r="L92" s="835"/>
      <c r="M92" s="878"/>
      <c r="N92" s="835"/>
      <c r="O92" s="835"/>
      <c r="P92" s="835"/>
      <c r="Q92" s="835"/>
      <c r="R92" s="835"/>
      <c r="S92" s="835"/>
      <c r="T92" s="835"/>
      <c r="U92" s="835"/>
      <c r="V92" s="892"/>
      <c r="W92" s="835"/>
      <c r="X92" s="835"/>
      <c r="Y92" s="835"/>
      <c r="Z92" s="835"/>
      <c r="AA92" s="835"/>
      <c r="AB92" s="835"/>
      <c r="AC92" s="835"/>
      <c r="AD92" s="835"/>
      <c r="AE92" s="835"/>
      <c r="AF92" s="835"/>
      <c r="AG92" s="835"/>
      <c r="AH92" s="835"/>
      <c r="AI92" s="835"/>
      <c r="AJ92" s="835"/>
      <c r="AK92" s="835"/>
      <c r="AL92" s="835"/>
      <c r="AM92" s="835"/>
      <c r="AN92" s="835"/>
      <c r="AO92" s="835"/>
      <c r="AP92" s="835"/>
      <c r="AQ92" s="835"/>
      <c r="AR92" s="835"/>
      <c r="AS92" s="835"/>
      <c r="AT92" s="835"/>
      <c r="AU92" s="835"/>
      <c r="AV92" s="835"/>
      <c r="AW92" s="835"/>
      <c r="AX92" s="835"/>
      <c r="AY92" s="835"/>
      <c r="AZ92" s="835"/>
      <c r="BA92" s="835"/>
      <c r="BB92" s="835"/>
    </row>
    <row r="93" spans="1:54" ht="12.75">
      <c r="A93" s="835"/>
      <c r="B93" s="835"/>
      <c r="C93" s="835"/>
      <c r="D93" s="835"/>
      <c r="E93" s="835"/>
      <c r="F93" s="835"/>
      <c r="G93" s="835"/>
      <c r="H93" s="835"/>
      <c r="I93" s="835"/>
      <c r="J93" s="835"/>
      <c r="K93" s="835"/>
      <c r="L93" s="835"/>
      <c r="M93" s="878"/>
      <c r="N93" s="835"/>
      <c r="O93" s="835"/>
      <c r="P93" s="835"/>
      <c r="Q93" s="835"/>
      <c r="R93" s="835"/>
      <c r="S93" s="835"/>
      <c r="T93" s="835"/>
      <c r="U93" s="835"/>
      <c r="V93" s="892"/>
      <c r="W93" s="835"/>
      <c r="X93" s="835"/>
      <c r="Y93" s="835"/>
      <c r="Z93" s="835"/>
      <c r="AA93" s="835"/>
      <c r="AB93" s="835"/>
      <c r="AC93" s="835"/>
      <c r="AD93" s="835"/>
      <c r="AE93" s="835"/>
      <c r="AF93" s="835"/>
      <c r="AG93" s="835"/>
      <c r="AH93" s="835"/>
      <c r="AI93" s="835"/>
      <c r="AJ93" s="835"/>
      <c r="AK93" s="835"/>
      <c r="AL93" s="835"/>
      <c r="AM93" s="835"/>
      <c r="AN93" s="835"/>
      <c r="AO93" s="835"/>
      <c r="AP93" s="835"/>
      <c r="AQ93" s="835"/>
      <c r="AR93" s="835"/>
      <c r="AS93" s="835"/>
      <c r="AT93" s="835"/>
      <c r="AU93" s="835"/>
      <c r="AV93" s="835"/>
      <c r="AW93" s="835"/>
      <c r="AX93" s="835"/>
      <c r="AY93" s="835"/>
      <c r="AZ93" s="835"/>
      <c r="BA93" s="835"/>
      <c r="BB93" s="835"/>
    </row>
    <row r="94" spans="1:54" ht="12.75">
      <c r="A94" s="835"/>
      <c r="B94" s="835"/>
      <c r="C94" s="835"/>
      <c r="D94" s="835"/>
      <c r="E94" s="835"/>
      <c r="F94" s="835"/>
      <c r="G94" s="835"/>
      <c r="H94" s="835"/>
      <c r="I94" s="835"/>
      <c r="J94" s="835"/>
      <c r="K94" s="835"/>
      <c r="L94" s="835"/>
      <c r="M94" s="878"/>
      <c r="N94" s="835"/>
      <c r="O94" s="835"/>
      <c r="P94" s="835"/>
      <c r="Q94" s="835"/>
      <c r="R94" s="835"/>
      <c r="S94" s="835"/>
      <c r="T94" s="835"/>
      <c r="U94" s="835"/>
      <c r="V94" s="835"/>
      <c r="W94" s="835"/>
      <c r="X94" s="835"/>
      <c r="Y94" s="835"/>
      <c r="Z94" s="835"/>
      <c r="AA94" s="835"/>
      <c r="AB94" s="835"/>
      <c r="AC94" s="835"/>
      <c r="AD94" s="835"/>
      <c r="AE94" s="835"/>
      <c r="AF94" s="835"/>
      <c r="AG94" s="835"/>
      <c r="AH94" s="835"/>
      <c r="AI94" s="835"/>
      <c r="AJ94" s="835"/>
      <c r="AK94" s="835"/>
      <c r="AL94" s="835"/>
      <c r="AM94" s="835"/>
      <c r="AN94" s="835"/>
      <c r="AO94" s="835"/>
      <c r="AP94" s="835"/>
      <c r="AQ94" s="835"/>
      <c r="AR94" s="835"/>
      <c r="AS94" s="835"/>
      <c r="AT94" s="835"/>
      <c r="AU94" s="835"/>
      <c r="AV94" s="835"/>
      <c r="AW94" s="835"/>
      <c r="AX94" s="835"/>
      <c r="AY94" s="835"/>
      <c r="AZ94" s="835"/>
      <c r="BA94" s="835"/>
      <c r="BB94" s="835"/>
    </row>
    <row r="95" spans="1:54" ht="12.75">
      <c r="A95" s="835"/>
      <c r="B95" s="835"/>
      <c r="C95" s="835"/>
      <c r="D95" s="835"/>
      <c r="E95" s="835"/>
      <c r="F95" s="835"/>
      <c r="G95" s="835"/>
      <c r="H95" s="835"/>
      <c r="I95" s="835"/>
      <c r="J95" s="835"/>
      <c r="K95" s="835"/>
      <c r="L95" s="835"/>
      <c r="M95" s="878"/>
      <c r="N95" s="835"/>
      <c r="O95" s="835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835"/>
      <c r="AA95" s="835"/>
      <c r="AB95" s="835"/>
      <c r="AC95" s="835"/>
      <c r="AD95" s="835"/>
      <c r="AE95" s="835"/>
      <c r="AF95" s="835"/>
      <c r="AG95" s="835"/>
      <c r="AH95" s="835"/>
      <c r="AI95" s="835"/>
      <c r="AJ95" s="835"/>
      <c r="AK95" s="835"/>
      <c r="AL95" s="835"/>
      <c r="AM95" s="835"/>
      <c r="AN95" s="835"/>
      <c r="AO95" s="835"/>
      <c r="AP95" s="835"/>
      <c r="AQ95" s="835"/>
      <c r="AR95" s="835"/>
      <c r="AS95" s="835"/>
      <c r="AT95" s="835"/>
      <c r="AU95" s="835"/>
      <c r="AV95" s="835"/>
      <c r="AW95" s="835"/>
      <c r="AX95" s="835"/>
      <c r="AY95" s="835"/>
      <c r="AZ95" s="835"/>
      <c r="BA95" s="835"/>
      <c r="BB95" s="835"/>
    </row>
  </sheetData>
  <sheetProtection/>
  <mergeCells count="11">
    <mergeCell ref="F6:F7"/>
    <mergeCell ref="B8:B19"/>
    <mergeCell ref="AN8:AN9"/>
    <mergeCell ref="AQ8:AR8"/>
    <mergeCell ref="B20:B31"/>
    <mergeCell ref="B32:B43"/>
    <mergeCell ref="B44:B55"/>
    <mergeCell ref="B56:B67"/>
    <mergeCell ref="B68:B79"/>
    <mergeCell ref="B80:B91"/>
    <mergeCell ref="C6:C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view="pageBreakPreview" zoomScaleSheetLayoutView="100" zoomScalePageLayoutView="0" workbookViewId="0" topLeftCell="A49">
      <selection activeCell="R85" sqref="R85"/>
    </sheetView>
  </sheetViews>
  <sheetFormatPr defaultColWidth="11.421875" defaultRowHeight="12.75"/>
  <cols>
    <col min="1" max="1" width="5.7109375" style="283" customWidth="1"/>
    <col min="2" max="2" width="21.7109375" style="283" customWidth="1"/>
    <col min="3" max="3" width="11.8515625" style="283" customWidth="1"/>
    <col min="4" max="4" width="9.140625" style="283" bestFit="1" customWidth="1"/>
    <col min="5" max="6" width="8.57421875" style="283" customWidth="1"/>
    <col min="7" max="7" width="8.00390625" style="283" customWidth="1"/>
    <col min="8" max="8" width="11.140625" style="283" customWidth="1"/>
    <col min="9" max="9" width="11.7109375" style="283" customWidth="1"/>
    <col min="10" max="11" width="9.28125" style="283" customWidth="1"/>
    <col min="12" max="12" width="7.28125" style="283" customWidth="1"/>
    <col min="13" max="13" width="9.28125" style="283" customWidth="1"/>
    <col min="14" max="14" width="9.8515625" style="283" customWidth="1"/>
    <col min="15" max="15" width="8.7109375" style="283" customWidth="1"/>
    <col min="16" max="16384" width="11.421875" style="283" customWidth="1"/>
  </cols>
  <sheetData>
    <row r="1" spans="2:15" ht="20.25"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</row>
    <row r="2" ht="18">
      <c r="A2" s="11" t="s">
        <v>73</v>
      </c>
    </row>
    <row r="3" spans="3:15" ht="15">
      <c r="C3" s="284"/>
      <c r="D3" s="284"/>
      <c r="E3" s="284"/>
      <c r="F3" s="284"/>
      <c r="G3" s="284"/>
      <c r="H3" s="284"/>
      <c r="I3" s="284"/>
      <c r="J3" s="285"/>
      <c r="K3" s="285"/>
      <c r="L3" s="286"/>
      <c r="M3" s="286"/>
      <c r="N3" s="286"/>
      <c r="O3" s="286"/>
    </row>
    <row r="4" ht="13.5" thickBot="1">
      <c r="W4" s="283" t="s">
        <v>65</v>
      </c>
    </row>
    <row r="5" spans="2:25" ht="15.75" customHeight="1">
      <c r="B5" s="478"/>
      <c r="C5" s="479"/>
      <c r="D5" s="480" t="s">
        <v>13</v>
      </c>
      <c r="E5" s="481"/>
      <c r="F5" s="481"/>
      <c r="G5" s="481"/>
      <c r="H5" s="480" t="s">
        <v>14</v>
      </c>
      <c r="I5" s="481"/>
      <c r="J5" s="482"/>
      <c r="K5" s="482"/>
      <c r="L5" s="482"/>
      <c r="M5" s="480" t="s">
        <v>15</v>
      </c>
      <c r="N5" s="483"/>
      <c r="O5" s="484"/>
      <c r="R5" s="283" t="s">
        <v>0</v>
      </c>
      <c r="S5" s="283" t="s">
        <v>1</v>
      </c>
      <c r="T5" s="283" t="s">
        <v>2</v>
      </c>
      <c r="U5" s="283" t="s">
        <v>68</v>
      </c>
      <c r="W5" s="287" t="s">
        <v>66</v>
      </c>
      <c r="X5" s="287" t="s">
        <v>3</v>
      </c>
      <c r="Y5" s="288" t="s">
        <v>67</v>
      </c>
    </row>
    <row r="6" spans="2:25" ht="13.5" thickBot="1">
      <c r="B6" s="485" t="s">
        <v>18</v>
      </c>
      <c r="C6" s="486" t="s">
        <v>0</v>
      </c>
      <c r="D6" s="487" t="s">
        <v>4</v>
      </c>
      <c r="E6" s="488" t="s">
        <v>5</v>
      </c>
      <c r="F6" s="488" t="s">
        <v>71</v>
      </c>
      <c r="G6" s="488" t="s">
        <v>6</v>
      </c>
      <c r="H6" s="489" t="s">
        <v>0</v>
      </c>
      <c r="I6" s="488" t="s">
        <v>4</v>
      </c>
      <c r="J6" s="488" t="s">
        <v>5</v>
      </c>
      <c r="K6" s="488" t="s">
        <v>68</v>
      </c>
      <c r="L6" s="488" t="s">
        <v>6</v>
      </c>
      <c r="M6" s="489" t="s">
        <v>0</v>
      </c>
      <c r="N6" s="490" t="s">
        <v>4</v>
      </c>
      <c r="O6" s="491" t="s">
        <v>5</v>
      </c>
      <c r="Q6" s="283">
        <v>1995</v>
      </c>
      <c r="R6" s="289">
        <f aca="true" t="shared" si="0" ref="R6:R22">C8</f>
        <v>4075.4080000000004</v>
      </c>
      <c r="S6" s="289">
        <f aca="true" t="shared" si="1" ref="S6:S22">D8</f>
        <v>2474.885</v>
      </c>
      <c r="T6" s="289">
        <f aca="true" t="shared" si="2" ref="T6:T22">E8</f>
        <v>1600.523</v>
      </c>
      <c r="W6" s="290">
        <v>1990</v>
      </c>
      <c r="X6" s="291" t="e">
        <f>#REF!</f>
        <v>#REF!</v>
      </c>
      <c r="Y6" s="292"/>
    </row>
    <row r="7" spans="2:25" ht="12.75">
      <c r="B7" s="293"/>
      <c r="C7" s="294"/>
      <c r="D7" s="295"/>
      <c r="E7" s="296"/>
      <c r="F7" s="296"/>
      <c r="G7" s="297"/>
      <c r="H7" s="298"/>
      <c r="I7" s="296"/>
      <c r="J7" s="296"/>
      <c r="K7" s="296"/>
      <c r="L7" s="297"/>
      <c r="M7" s="295"/>
      <c r="N7" s="299"/>
      <c r="O7" s="300"/>
      <c r="Q7" s="283">
        <v>1996</v>
      </c>
      <c r="R7" s="289">
        <f t="shared" si="0"/>
        <v>4003.201</v>
      </c>
      <c r="S7" s="289">
        <f t="shared" si="1"/>
        <v>2201.877</v>
      </c>
      <c r="T7" s="289">
        <f t="shared" si="2"/>
        <v>1801.074</v>
      </c>
      <c r="W7" s="290">
        <v>1995</v>
      </c>
      <c r="X7" s="291">
        <f aca="true" t="shared" si="3" ref="X7:X14">R6</f>
        <v>4075.4080000000004</v>
      </c>
      <c r="Y7" s="301" t="e">
        <f>(X7/#REF!)-1</f>
        <v>#REF!</v>
      </c>
    </row>
    <row r="8" spans="2:25" ht="12.75">
      <c r="B8" s="302">
        <v>1995</v>
      </c>
      <c r="C8" s="391">
        <f aca="true" t="shared" si="4" ref="C8:C24">SUM(D8:G8)</f>
        <v>4075.4080000000004</v>
      </c>
      <c r="D8" s="389">
        <f aca="true" t="shared" si="5" ref="D8:D24">SUM(I8,N8)</f>
        <v>2474.885</v>
      </c>
      <c r="E8" s="390">
        <f aca="true" t="shared" si="6" ref="E8:E24">SUM(J8,O8)</f>
        <v>1600.523</v>
      </c>
      <c r="F8" s="390"/>
      <c r="G8" s="398"/>
      <c r="H8" s="389">
        <f aca="true" t="shared" si="7" ref="H8:H24">SUM(I8:L8)</f>
        <v>3195.392</v>
      </c>
      <c r="I8" s="389">
        <v>2205.915</v>
      </c>
      <c r="J8" s="396">
        <v>989.477</v>
      </c>
      <c r="K8" s="396"/>
      <c r="L8" s="398"/>
      <c r="M8" s="389">
        <f aca="true" t="shared" si="8" ref="M8:M24">SUM(N8:O8)</f>
        <v>880.016</v>
      </c>
      <c r="N8" s="390">
        <v>268.97</v>
      </c>
      <c r="O8" s="387">
        <v>611.0459999999999</v>
      </c>
      <c r="Q8" s="283">
        <v>1997</v>
      </c>
      <c r="R8" s="289">
        <f t="shared" si="0"/>
        <v>4581.019</v>
      </c>
      <c r="S8" s="289">
        <f t="shared" si="1"/>
        <v>2210.904</v>
      </c>
      <c r="T8" s="289">
        <f t="shared" si="2"/>
        <v>2369.865</v>
      </c>
      <c r="W8" s="290">
        <v>1996</v>
      </c>
      <c r="X8" s="291">
        <f t="shared" si="3"/>
        <v>4003.201</v>
      </c>
      <c r="Y8" s="301">
        <f aca="true" t="shared" si="9" ref="Y8:Y14">(X8/X7)-1</f>
        <v>-0.017717735254973332</v>
      </c>
    </row>
    <row r="9" spans="2:25" ht="12.75">
      <c r="B9" s="309">
        <v>1996</v>
      </c>
      <c r="C9" s="393">
        <f t="shared" si="4"/>
        <v>4003.201</v>
      </c>
      <c r="D9" s="386">
        <f t="shared" si="5"/>
        <v>2201.877</v>
      </c>
      <c r="E9" s="384">
        <f t="shared" si="6"/>
        <v>1801.074</v>
      </c>
      <c r="F9" s="384"/>
      <c r="G9" s="395">
        <v>0.25</v>
      </c>
      <c r="H9" s="386">
        <f t="shared" si="7"/>
        <v>2879.501</v>
      </c>
      <c r="I9" s="386">
        <v>1924.851</v>
      </c>
      <c r="J9" s="384">
        <v>954.4</v>
      </c>
      <c r="K9" s="384"/>
      <c r="L9" s="384">
        <v>0.25</v>
      </c>
      <c r="M9" s="386">
        <f t="shared" si="8"/>
        <v>1123.7</v>
      </c>
      <c r="N9" s="385">
        <v>277.026</v>
      </c>
      <c r="O9" s="392">
        <v>846.6740000000001</v>
      </c>
      <c r="Q9" s="283">
        <v>1998</v>
      </c>
      <c r="R9" s="289">
        <f t="shared" si="0"/>
        <v>4781.630999999999</v>
      </c>
      <c r="S9" s="289">
        <f t="shared" si="1"/>
        <v>2116.8689999999997</v>
      </c>
      <c r="T9" s="289">
        <f t="shared" si="2"/>
        <v>2664.5119999999997</v>
      </c>
      <c r="W9" s="290">
        <v>1997</v>
      </c>
      <c r="X9" s="291">
        <f t="shared" si="3"/>
        <v>4581.019</v>
      </c>
      <c r="Y9" s="301">
        <f t="shared" si="9"/>
        <v>0.14433899272107498</v>
      </c>
    </row>
    <row r="10" spans="2:25" ht="12.75">
      <c r="B10" s="302">
        <v>1997</v>
      </c>
      <c r="C10" s="391">
        <f t="shared" si="4"/>
        <v>4581.019</v>
      </c>
      <c r="D10" s="389">
        <f t="shared" si="5"/>
        <v>2210.904</v>
      </c>
      <c r="E10" s="388">
        <f t="shared" si="6"/>
        <v>2369.865</v>
      </c>
      <c r="F10" s="388"/>
      <c r="G10" s="397">
        <v>0.25</v>
      </c>
      <c r="H10" s="389">
        <f t="shared" si="7"/>
        <v>3826.8329999999996</v>
      </c>
      <c r="I10" s="389">
        <v>2120.171</v>
      </c>
      <c r="J10" s="388">
        <v>1706.4119999999998</v>
      </c>
      <c r="K10" s="388"/>
      <c r="L10" s="388">
        <v>0.25</v>
      </c>
      <c r="M10" s="389">
        <f t="shared" si="8"/>
        <v>754.1859999999999</v>
      </c>
      <c r="N10" s="390">
        <v>90.733</v>
      </c>
      <c r="O10" s="387">
        <v>663.453</v>
      </c>
      <c r="Q10" s="283">
        <v>1999</v>
      </c>
      <c r="R10" s="289">
        <f t="shared" si="0"/>
        <v>5116.156</v>
      </c>
      <c r="S10" s="289">
        <f t="shared" si="1"/>
        <v>2318.108</v>
      </c>
      <c r="T10" s="289">
        <f t="shared" si="2"/>
        <v>2797.348</v>
      </c>
      <c r="W10" s="290">
        <v>1998</v>
      </c>
      <c r="X10" s="291">
        <f t="shared" si="3"/>
        <v>4781.630999999999</v>
      </c>
      <c r="Y10" s="301">
        <f t="shared" si="9"/>
        <v>0.043792003482194586</v>
      </c>
    </row>
    <row r="11" spans="2:25" ht="12.75">
      <c r="B11" s="309">
        <v>1998</v>
      </c>
      <c r="C11" s="393">
        <f t="shared" si="4"/>
        <v>4781.630999999999</v>
      </c>
      <c r="D11" s="386">
        <f t="shared" si="5"/>
        <v>2116.8689999999997</v>
      </c>
      <c r="E11" s="384">
        <f t="shared" si="6"/>
        <v>2664.5119999999997</v>
      </c>
      <c r="F11" s="384"/>
      <c r="G11" s="395">
        <v>0.25</v>
      </c>
      <c r="H11" s="386">
        <f t="shared" si="7"/>
        <v>4020.8509999999997</v>
      </c>
      <c r="I11" s="394">
        <v>2022.9019999999998</v>
      </c>
      <c r="J11" s="385">
        <v>1997.649</v>
      </c>
      <c r="K11" s="385"/>
      <c r="L11" s="384">
        <v>0.3</v>
      </c>
      <c r="M11" s="386">
        <f t="shared" si="8"/>
        <v>760.8299999999999</v>
      </c>
      <c r="N11" s="385">
        <v>93.96700000000001</v>
      </c>
      <c r="O11" s="392">
        <v>666.8629999999999</v>
      </c>
      <c r="Q11" s="283">
        <v>2000</v>
      </c>
      <c r="R11" s="289">
        <f t="shared" si="0"/>
        <v>5554.8460000000005</v>
      </c>
      <c r="S11" s="289">
        <f t="shared" si="1"/>
        <v>2650.8950000000004</v>
      </c>
      <c r="T11" s="289">
        <f t="shared" si="2"/>
        <v>2903.251</v>
      </c>
      <c r="W11" s="290">
        <v>1999</v>
      </c>
      <c r="X11" s="291">
        <f t="shared" si="3"/>
        <v>5116.156</v>
      </c>
      <c r="Y11" s="301">
        <f t="shared" si="9"/>
        <v>0.06996043818521347</v>
      </c>
    </row>
    <row r="12" spans="2:25" ht="12.75">
      <c r="B12" s="302">
        <v>1999</v>
      </c>
      <c r="C12" s="391">
        <f t="shared" si="4"/>
        <v>5116.156</v>
      </c>
      <c r="D12" s="389">
        <f t="shared" si="5"/>
        <v>2318.108</v>
      </c>
      <c r="E12" s="388">
        <f t="shared" si="6"/>
        <v>2797.348</v>
      </c>
      <c r="F12" s="388"/>
      <c r="G12" s="397">
        <v>0.7</v>
      </c>
      <c r="H12" s="389">
        <f t="shared" si="7"/>
        <v>4317.928999999999</v>
      </c>
      <c r="I12" s="396">
        <v>2242.625</v>
      </c>
      <c r="J12" s="388">
        <v>2074.604</v>
      </c>
      <c r="K12" s="388"/>
      <c r="L12" s="388">
        <v>0.7</v>
      </c>
      <c r="M12" s="389">
        <f t="shared" si="8"/>
        <v>798.227</v>
      </c>
      <c r="N12" s="390">
        <v>75.48299999999999</v>
      </c>
      <c r="O12" s="387">
        <v>722.744</v>
      </c>
      <c r="Q12" s="283">
        <v>2001</v>
      </c>
      <c r="R12" s="289">
        <f t="shared" si="0"/>
        <v>5387.177</v>
      </c>
      <c r="S12" s="289">
        <f t="shared" si="1"/>
        <v>2744.5029999999997</v>
      </c>
      <c r="T12" s="289">
        <f t="shared" si="2"/>
        <v>2641.974</v>
      </c>
      <c r="W12" s="290">
        <v>2000</v>
      </c>
      <c r="X12" s="316">
        <f t="shared" si="3"/>
        <v>5554.8460000000005</v>
      </c>
      <c r="Y12" s="301">
        <f t="shared" si="9"/>
        <v>0.08574601712692109</v>
      </c>
    </row>
    <row r="13" spans="2:25" ht="12.75">
      <c r="B13" s="309">
        <v>2000</v>
      </c>
      <c r="C13" s="393">
        <f t="shared" si="4"/>
        <v>5554.8460000000005</v>
      </c>
      <c r="D13" s="386">
        <f t="shared" si="5"/>
        <v>2650.8950000000004</v>
      </c>
      <c r="E13" s="384">
        <f t="shared" si="6"/>
        <v>2903.251</v>
      </c>
      <c r="F13" s="384"/>
      <c r="G13" s="395">
        <f>L13</f>
        <v>0.7</v>
      </c>
      <c r="H13" s="386">
        <f t="shared" si="7"/>
        <v>4775.935</v>
      </c>
      <c r="I13" s="394">
        <v>2575.9240000000004</v>
      </c>
      <c r="J13" s="384">
        <v>2199.311</v>
      </c>
      <c r="K13" s="384"/>
      <c r="L13" s="384">
        <v>0.7</v>
      </c>
      <c r="M13" s="386">
        <f t="shared" si="8"/>
        <v>778.9110000000001</v>
      </c>
      <c r="N13" s="385">
        <v>74.971</v>
      </c>
      <c r="O13" s="392">
        <v>703.94</v>
      </c>
      <c r="Q13" s="317">
        <v>2002</v>
      </c>
      <c r="R13" s="289">
        <f t="shared" si="0"/>
        <v>5395.669</v>
      </c>
      <c r="S13" s="289">
        <f t="shared" si="1"/>
        <v>2775.2819999999997</v>
      </c>
      <c r="T13" s="289">
        <f t="shared" si="2"/>
        <v>2619.6870000000004</v>
      </c>
      <c r="W13" s="290">
        <v>2001</v>
      </c>
      <c r="X13" s="316">
        <f t="shared" si="3"/>
        <v>5387.177</v>
      </c>
      <c r="Y13" s="301">
        <f t="shared" si="9"/>
        <v>-0.030184275135620497</v>
      </c>
    </row>
    <row r="14" spans="2:25" ht="12.75">
      <c r="B14" s="302">
        <v>2001</v>
      </c>
      <c r="C14" s="391">
        <f t="shared" si="4"/>
        <v>5387.177</v>
      </c>
      <c r="D14" s="389">
        <f t="shared" si="5"/>
        <v>2744.5029999999997</v>
      </c>
      <c r="E14" s="388">
        <f t="shared" si="6"/>
        <v>2641.974</v>
      </c>
      <c r="F14" s="388"/>
      <c r="G14" s="388">
        <v>0.7</v>
      </c>
      <c r="H14" s="388">
        <f t="shared" si="7"/>
        <v>4642.063999999999</v>
      </c>
      <c r="I14" s="388">
        <v>2674.8349999999996</v>
      </c>
      <c r="J14" s="388">
        <v>1966.529</v>
      </c>
      <c r="K14" s="388"/>
      <c r="L14" s="388">
        <f>+'[2]Desagregado'!N17</f>
        <v>0.7</v>
      </c>
      <c r="M14" s="388">
        <f t="shared" si="8"/>
        <v>745.1130000000002</v>
      </c>
      <c r="N14" s="388">
        <v>69.66799999999999</v>
      </c>
      <c r="O14" s="387">
        <v>675.4450000000002</v>
      </c>
      <c r="Q14" s="283">
        <v>2003</v>
      </c>
      <c r="R14" s="289">
        <f t="shared" si="0"/>
        <v>5421.807</v>
      </c>
      <c r="S14" s="289">
        <f t="shared" si="1"/>
        <v>2790.273</v>
      </c>
      <c r="T14" s="289">
        <f t="shared" si="2"/>
        <v>2630.8340000000003</v>
      </c>
      <c r="W14" s="318">
        <v>2002</v>
      </c>
      <c r="X14" s="319">
        <f t="shared" si="3"/>
        <v>5395.669</v>
      </c>
      <c r="Y14" s="320">
        <f t="shared" si="9"/>
        <v>0.001576335806304563</v>
      </c>
    </row>
    <row r="15" spans="2:20" ht="12.75">
      <c r="B15" s="309">
        <v>2002</v>
      </c>
      <c r="C15" s="393">
        <f t="shared" si="4"/>
        <v>5395.669</v>
      </c>
      <c r="D15" s="386">
        <f t="shared" si="5"/>
        <v>2775.2819999999997</v>
      </c>
      <c r="E15" s="384">
        <f t="shared" si="6"/>
        <v>2619.6870000000004</v>
      </c>
      <c r="F15" s="384"/>
      <c r="G15" s="384">
        <f aca="true" t="shared" si="10" ref="G15:G24">SUM(L15)</f>
        <v>0.7</v>
      </c>
      <c r="H15" s="384">
        <f t="shared" si="7"/>
        <v>4657.826999999999</v>
      </c>
      <c r="I15" s="384">
        <v>2702.863</v>
      </c>
      <c r="J15" s="384">
        <v>1954.264</v>
      </c>
      <c r="K15" s="384"/>
      <c r="L15" s="384">
        <f>+'[2]Desagregado'!N18</f>
        <v>0.7</v>
      </c>
      <c r="M15" s="384">
        <f t="shared" si="8"/>
        <v>737.8420000000006</v>
      </c>
      <c r="N15" s="384">
        <v>72.419</v>
      </c>
      <c r="O15" s="392">
        <v>665.4230000000006</v>
      </c>
      <c r="Q15" s="283">
        <v>2004</v>
      </c>
      <c r="R15" s="289">
        <f t="shared" si="0"/>
        <v>5417.959070000002</v>
      </c>
      <c r="S15" s="289">
        <f t="shared" si="1"/>
        <v>2815.004070000001</v>
      </c>
      <c r="T15" s="289">
        <f t="shared" si="2"/>
        <v>2602.2550000000006</v>
      </c>
    </row>
    <row r="16" spans="2:20" ht="12.75">
      <c r="B16" s="302">
        <v>2003</v>
      </c>
      <c r="C16" s="391">
        <f t="shared" si="4"/>
        <v>5421.807</v>
      </c>
      <c r="D16" s="389">
        <f t="shared" si="5"/>
        <v>2790.273</v>
      </c>
      <c r="E16" s="388">
        <f t="shared" si="6"/>
        <v>2630.8340000000003</v>
      </c>
      <c r="F16" s="388"/>
      <c r="G16" s="388">
        <f t="shared" si="10"/>
        <v>0.7</v>
      </c>
      <c r="H16" s="388">
        <f t="shared" si="7"/>
        <v>4686.394</v>
      </c>
      <c r="I16" s="388">
        <v>2720.2290000000003</v>
      </c>
      <c r="J16" s="388">
        <v>1965.465</v>
      </c>
      <c r="K16" s="388"/>
      <c r="L16" s="388">
        <f>+'[2]Desagregado'!N19</f>
        <v>0.7</v>
      </c>
      <c r="M16" s="388">
        <f t="shared" si="8"/>
        <v>735.4130000000004</v>
      </c>
      <c r="N16" s="388">
        <v>70.04399999999998</v>
      </c>
      <c r="O16" s="387">
        <v>665.3690000000004</v>
      </c>
      <c r="Q16" s="283">
        <v>2005</v>
      </c>
      <c r="R16" s="289">
        <f t="shared" si="0"/>
        <v>5610.925</v>
      </c>
      <c r="S16" s="289">
        <f t="shared" si="1"/>
        <v>2989.203</v>
      </c>
      <c r="T16" s="289">
        <f t="shared" si="2"/>
        <v>2621.022</v>
      </c>
    </row>
    <row r="17" spans="2:20" ht="12.75">
      <c r="B17" s="309">
        <v>2004</v>
      </c>
      <c r="C17" s="393">
        <f t="shared" si="4"/>
        <v>5417.959070000002</v>
      </c>
      <c r="D17" s="386">
        <f t="shared" si="5"/>
        <v>2815.004070000001</v>
      </c>
      <c r="E17" s="384">
        <f t="shared" si="6"/>
        <v>2602.2550000000006</v>
      </c>
      <c r="F17" s="384"/>
      <c r="G17" s="384">
        <f t="shared" si="10"/>
        <v>0.7</v>
      </c>
      <c r="H17" s="384">
        <f t="shared" si="7"/>
        <v>4657.315070000001</v>
      </c>
      <c r="I17" s="384">
        <v>2747.272070000001</v>
      </c>
      <c r="J17" s="384">
        <v>1909.343</v>
      </c>
      <c r="K17" s="384"/>
      <c r="L17" s="384">
        <f>+'[2]Desagregado'!N20</f>
        <v>0.7</v>
      </c>
      <c r="M17" s="384">
        <f t="shared" si="8"/>
        <v>760.6440000000003</v>
      </c>
      <c r="N17" s="384">
        <v>67.732</v>
      </c>
      <c r="O17" s="392">
        <v>692.9120000000004</v>
      </c>
      <c r="Q17" s="283">
        <v>2006</v>
      </c>
      <c r="R17" s="289">
        <f t="shared" si="0"/>
        <v>5873.400000000001</v>
      </c>
      <c r="S17" s="289">
        <f t="shared" si="1"/>
        <v>2995.974</v>
      </c>
      <c r="T17" s="289">
        <f t="shared" si="2"/>
        <v>2876.7260000000006</v>
      </c>
    </row>
    <row r="18" spans="2:20" ht="12.75">
      <c r="B18" s="302">
        <v>2005</v>
      </c>
      <c r="C18" s="391">
        <f t="shared" si="4"/>
        <v>5610.925</v>
      </c>
      <c r="D18" s="389">
        <f t="shared" si="5"/>
        <v>2989.203</v>
      </c>
      <c r="E18" s="390">
        <f t="shared" si="6"/>
        <v>2621.022</v>
      </c>
      <c r="F18" s="390"/>
      <c r="G18" s="388">
        <f t="shared" si="10"/>
        <v>0.7</v>
      </c>
      <c r="H18" s="389">
        <f t="shared" si="7"/>
        <v>4798.663</v>
      </c>
      <c r="I18" s="388">
        <v>2918.773</v>
      </c>
      <c r="J18" s="390">
        <v>1879.1899999999998</v>
      </c>
      <c r="K18" s="390"/>
      <c r="L18" s="388">
        <f>+'[2]Desagregado'!N21</f>
        <v>0.7</v>
      </c>
      <c r="M18" s="389">
        <f t="shared" si="8"/>
        <v>812.2620000000004</v>
      </c>
      <c r="N18" s="388">
        <v>70.43</v>
      </c>
      <c r="O18" s="387">
        <v>741.8320000000003</v>
      </c>
      <c r="Q18" s="317">
        <v>2007</v>
      </c>
      <c r="R18" s="289">
        <f t="shared" si="0"/>
        <v>6352.013999999998</v>
      </c>
      <c r="S18" s="289">
        <f t="shared" si="1"/>
        <v>3013.297999999998</v>
      </c>
      <c r="T18" s="289">
        <f t="shared" si="2"/>
        <v>3338.0160000000005</v>
      </c>
    </row>
    <row r="19" spans="2:20" ht="12.75">
      <c r="B19" s="309">
        <v>2006</v>
      </c>
      <c r="C19" s="393">
        <f t="shared" si="4"/>
        <v>5873.400000000001</v>
      </c>
      <c r="D19" s="386">
        <f t="shared" si="5"/>
        <v>2995.974</v>
      </c>
      <c r="E19" s="385">
        <f t="shared" si="6"/>
        <v>2876.7260000000006</v>
      </c>
      <c r="F19" s="385"/>
      <c r="G19" s="384">
        <f t="shared" si="10"/>
        <v>0.7</v>
      </c>
      <c r="H19" s="386">
        <f t="shared" si="7"/>
        <v>5064.362</v>
      </c>
      <c r="I19" s="384">
        <v>2926.618</v>
      </c>
      <c r="J19" s="385">
        <v>2137.0440000000003</v>
      </c>
      <c r="K19" s="385"/>
      <c r="L19" s="384">
        <f>+'[2]Desagregado'!N22</f>
        <v>0.7</v>
      </c>
      <c r="M19" s="386">
        <f t="shared" si="8"/>
        <v>809.038</v>
      </c>
      <c r="N19" s="384">
        <v>69.356</v>
      </c>
      <c r="O19" s="392">
        <v>739.682</v>
      </c>
      <c r="Q19" s="283">
        <v>2008</v>
      </c>
      <c r="R19" s="289">
        <f t="shared" si="0"/>
        <v>6348.944</v>
      </c>
      <c r="S19" s="289">
        <f t="shared" si="1"/>
        <v>3027.9020000000005</v>
      </c>
      <c r="T19" s="289">
        <f t="shared" si="2"/>
        <v>3320.3419999999996</v>
      </c>
    </row>
    <row r="20" spans="2:20" ht="12.75">
      <c r="B20" s="302">
        <v>2007</v>
      </c>
      <c r="C20" s="391">
        <f t="shared" si="4"/>
        <v>6352.013999999998</v>
      </c>
      <c r="D20" s="389">
        <f t="shared" si="5"/>
        <v>3013.297999999998</v>
      </c>
      <c r="E20" s="390">
        <f t="shared" si="6"/>
        <v>3338.0160000000005</v>
      </c>
      <c r="F20" s="390"/>
      <c r="G20" s="388">
        <f t="shared" si="10"/>
        <v>0.7</v>
      </c>
      <c r="H20" s="389">
        <f t="shared" si="7"/>
        <v>5532.854999999999</v>
      </c>
      <c r="I20" s="388">
        <v>2939.586999999998</v>
      </c>
      <c r="J20" s="390">
        <v>2592.5680000000007</v>
      </c>
      <c r="K20" s="390"/>
      <c r="L20" s="388">
        <f>+'[2]Desagregado'!N23</f>
        <v>0.7</v>
      </c>
      <c r="M20" s="389">
        <f t="shared" si="8"/>
        <v>819.1590000000001</v>
      </c>
      <c r="N20" s="388">
        <v>73.71099999999998</v>
      </c>
      <c r="O20" s="387">
        <v>745.4480000000001</v>
      </c>
      <c r="Q20" s="283">
        <v>2009</v>
      </c>
      <c r="R20" s="289">
        <f t="shared" si="0"/>
        <v>7256.347</v>
      </c>
      <c r="S20" s="289">
        <f t="shared" si="1"/>
        <v>3115.768</v>
      </c>
      <c r="T20" s="289">
        <f t="shared" si="2"/>
        <v>4139.879</v>
      </c>
    </row>
    <row r="21" spans="2:20" ht="12.75">
      <c r="B21" s="309">
        <v>2008</v>
      </c>
      <c r="C21" s="393">
        <f t="shared" si="4"/>
        <v>6348.944</v>
      </c>
      <c r="D21" s="386">
        <f t="shared" si="5"/>
        <v>3027.9020000000005</v>
      </c>
      <c r="E21" s="385">
        <f t="shared" si="6"/>
        <v>3320.3419999999996</v>
      </c>
      <c r="F21" s="385"/>
      <c r="G21" s="384">
        <f t="shared" si="10"/>
        <v>0.7</v>
      </c>
      <c r="H21" s="386">
        <f t="shared" si="7"/>
        <v>5444.215999999999</v>
      </c>
      <c r="I21" s="384">
        <v>2953.1210000000005</v>
      </c>
      <c r="J21" s="385">
        <v>2490.3949999999995</v>
      </c>
      <c r="K21" s="385"/>
      <c r="L21" s="384">
        <f>+'[2]Desagregado'!N24</f>
        <v>0.7</v>
      </c>
      <c r="M21" s="386">
        <f t="shared" si="8"/>
        <v>904.728</v>
      </c>
      <c r="N21" s="384">
        <v>74.78099999999998</v>
      </c>
      <c r="O21" s="392">
        <v>829.947</v>
      </c>
      <c r="Q21" s="283">
        <v>2010</v>
      </c>
      <c r="R21" s="289">
        <f t="shared" si="0"/>
        <v>8000.3870000000015</v>
      </c>
      <c r="S21" s="289">
        <f t="shared" si="1"/>
        <v>3317.4450000000006</v>
      </c>
      <c r="T21" s="289">
        <f t="shared" si="2"/>
        <v>4682.242000000001</v>
      </c>
    </row>
    <row r="22" spans="2:20" ht="12.75">
      <c r="B22" s="302">
        <v>2009</v>
      </c>
      <c r="C22" s="391">
        <f t="shared" si="4"/>
        <v>7256.347</v>
      </c>
      <c r="D22" s="389">
        <f t="shared" si="5"/>
        <v>3115.768</v>
      </c>
      <c r="E22" s="390">
        <f t="shared" si="6"/>
        <v>4139.879</v>
      </c>
      <c r="F22" s="390"/>
      <c r="G22" s="388">
        <f t="shared" si="10"/>
        <v>0.7</v>
      </c>
      <c r="H22" s="389">
        <f t="shared" si="7"/>
        <v>6246.409000000001</v>
      </c>
      <c r="I22" s="388">
        <v>3037.1620000000003</v>
      </c>
      <c r="J22" s="390">
        <v>3208.547</v>
      </c>
      <c r="K22" s="390"/>
      <c r="L22" s="388">
        <f>+'[2]Desagregado'!N25</f>
        <v>0.7</v>
      </c>
      <c r="M22" s="389">
        <f t="shared" si="8"/>
        <v>1009.9380000000001</v>
      </c>
      <c r="N22" s="388">
        <v>78.606</v>
      </c>
      <c r="O22" s="387">
        <v>931.3320000000001</v>
      </c>
      <c r="Q22" s="283">
        <v>2011</v>
      </c>
      <c r="R22" s="289">
        <f t="shared" si="0"/>
        <v>8045.517000000001</v>
      </c>
      <c r="S22" s="289">
        <f t="shared" si="1"/>
        <v>3328.6140000000005</v>
      </c>
      <c r="T22" s="289">
        <f t="shared" si="2"/>
        <v>4716.203</v>
      </c>
    </row>
    <row r="23" spans="2:21" ht="12.75">
      <c r="B23" s="309">
        <v>2010</v>
      </c>
      <c r="C23" s="382">
        <f t="shared" si="4"/>
        <v>8000.3870000000015</v>
      </c>
      <c r="D23" s="386">
        <f t="shared" si="5"/>
        <v>3317.4450000000006</v>
      </c>
      <c r="E23" s="385">
        <f t="shared" si="6"/>
        <v>4682.242000000001</v>
      </c>
      <c r="F23" s="385"/>
      <c r="G23" s="379">
        <f t="shared" si="10"/>
        <v>0.7</v>
      </c>
      <c r="H23" s="380">
        <f t="shared" si="7"/>
        <v>6875.038000000001</v>
      </c>
      <c r="I23" s="379">
        <v>3237.361000000001</v>
      </c>
      <c r="J23" s="381">
        <v>3636.9770000000008</v>
      </c>
      <c r="K23" s="381"/>
      <c r="L23" s="384">
        <f>+'[2]Desagregado'!N26</f>
        <v>0.7</v>
      </c>
      <c r="M23" s="380">
        <f t="shared" si="8"/>
        <v>1125.3490000000004</v>
      </c>
      <c r="N23" s="379">
        <v>80.084</v>
      </c>
      <c r="O23" s="378">
        <v>1045.2650000000003</v>
      </c>
      <c r="Q23" s="283">
        <v>2012</v>
      </c>
      <c r="R23" s="289">
        <f>C25</f>
        <v>8939.257000000001</v>
      </c>
      <c r="S23" s="289">
        <f>D25</f>
        <v>3360.136</v>
      </c>
      <c r="T23" s="289">
        <f>E25</f>
        <v>5498.421</v>
      </c>
      <c r="U23" s="283">
        <v>80</v>
      </c>
    </row>
    <row r="24" spans="2:20" ht="12.75">
      <c r="B24" s="302">
        <v>2011</v>
      </c>
      <c r="C24" s="391">
        <f t="shared" si="4"/>
        <v>8045.517000000001</v>
      </c>
      <c r="D24" s="389">
        <f t="shared" si="5"/>
        <v>3328.6140000000005</v>
      </c>
      <c r="E24" s="390">
        <f t="shared" si="6"/>
        <v>4716.203</v>
      </c>
      <c r="F24" s="390"/>
      <c r="G24" s="388">
        <f t="shared" si="10"/>
        <v>0.7</v>
      </c>
      <c r="H24" s="389">
        <f t="shared" si="7"/>
        <v>6867.821000000001</v>
      </c>
      <c r="I24" s="388">
        <v>3246.6250000000005</v>
      </c>
      <c r="J24" s="390">
        <v>3620.4960000000005</v>
      </c>
      <c r="K24" s="390"/>
      <c r="L24" s="388">
        <f>+'[2]Desagregado'!N27</f>
        <v>0.7</v>
      </c>
      <c r="M24" s="389">
        <f t="shared" si="8"/>
        <v>1177.6960000000001</v>
      </c>
      <c r="N24" s="388">
        <v>81.989</v>
      </c>
      <c r="O24" s="387">
        <v>1095.707</v>
      </c>
      <c r="R24" s="289"/>
      <c r="S24" s="289"/>
      <c r="T24" s="289"/>
    </row>
    <row r="25" spans="2:20" ht="12.75">
      <c r="B25" s="309">
        <v>2012</v>
      </c>
      <c r="C25" s="382">
        <v>8939.257000000001</v>
      </c>
      <c r="D25" s="386">
        <v>3360.136</v>
      </c>
      <c r="E25" s="385">
        <v>5498.421</v>
      </c>
      <c r="F25" s="385">
        <v>80</v>
      </c>
      <c r="G25" s="379">
        <v>0.7</v>
      </c>
      <c r="H25" s="380">
        <v>7754.905</v>
      </c>
      <c r="I25" s="379">
        <v>3270.5969999999998</v>
      </c>
      <c r="J25" s="381">
        <v>4403.608</v>
      </c>
      <c r="K25" s="381">
        <v>80</v>
      </c>
      <c r="L25" s="384">
        <v>0.7</v>
      </c>
      <c r="M25" s="380">
        <v>1184.352</v>
      </c>
      <c r="N25" s="379">
        <v>89.53900000000002</v>
      </c>
      <c r="O25" s="378">
        <v>1094.813</v>
      </c>
      <c r="R25" s="289"/>
      <c r="S25" s="289"/>
      <c r="T25" s="289"/>
    </row>
    <row r="26" spans="2:20" ht="13.5" thickBot="1">
      <c r="B26" s="809"/>
      <c r="C26" s="816"/>
      <c r="D26" s="817"/>
      <c r="E26" s="818"/>
      <c r="F26" s="818"/>
      <c r="G26" s="819"/>
      <c r="H26" s="817"/>
      <c r="I26" s="819"/>
      <c r="J26" s="818"/>
      <c r="K26" s="818"/>
      <c r="L26" s="819"/>
      <c r="M26" s="817"/>
      <c r="N26" s="819"/>
      <c r="O26" s="820"/>
      <c r="R26" s="289"/>
      <c r="S26" s="289"/>
      <c r="T26" s="289"/>
    </row>
    <row r="27" spans="2:26" ht="12.75">
      <c r="B27" s="349" t="s">
        <v>109</v>
      </c>
      <c r="C27" s="350">
        <f>(C25/C24)-1</f>
        <v>0.11108546535915598</v>
      </c>
      <c r="D27" s="351">
        <f>(D25/D24)-1</f>
        <v>0.009470007636811939</v>
      </c>
      <c r="E27" s="352">
        <f>(E25/E24)-1</f>
        <v>0.16585757652925448</v>
      </c>
      <c r="F27" s="334"/>
      <c r="G27" s="343"/>
      <c r="H27" s="350">
        <f>(H25/H24)-1</f>
        <v>0.12916527673042122</v>
      </c>
      <c r="I27" s="351">
        <f>(I25/I24)-1</f>
        <v>0.007383667654872195</v>
      </c>
      <c r="J27" s="352">
        <f>(J25/J24)-1</f>
        <v>0.21629964513149558</v>
      </c>
      <c r="K27" s="334"/>
      <c r="L27" s="343"/>
      <c r="M27" s="350">
        <f>(M25/M24)-1</f>
        <v>0.005651713175556239</v>
      </c>
      <c r="N27" s="351">
        <f>(N25/N24)-1</f>
        <v>0.09208552366780931</v>
      </c>
      <c r="O27" s="352">
        <f>(O25/O24)-1</f>
        <v>-0.0008159115529973171</v>
      </c>
      <c r="R27" s="289"/>
      <c r="S27" s="289"/>
      <c r="T27" s="289"/>
      <c r="W27" s="287"/>
      <c r="X27" s="337"/>
      <c r="Y27" s="337"/>
      <c r="Z27" s="338"/>
    </row>
    <row r="28" spans="2:26" ht="12.75">
      <c r="B28" s="339" t="s">
        <v>110</v>
      </c>
      <c r="C28" s="340">
        <f>((C25/C20)^(1/5))-1</f>
        <v>0.07072512903047157</v>
      </c>
      <c r="D28" s="341">
        <f>((D25/D20)^(1/5))-1</f>
        <v>0.022028377334952554</v>
      </c>
      <c r="E28" s="342">
        <f>((E25/E20)^(1/5))-1</f>
        <v>0.10496854479829709</v>
      </c>
      <c r="F28" s="334"/>
      <c r="G28" s="343"/>
      <c r="H28" s="340">
        <f>((H25/H20)^(1/5))-1</f>
        <v>0.06985627587909349</v>
      </c>
      <c r="I28" s="341">
        <f>((I25/I20)^(1/5))-1</f>
        <v>0.021570029368030097</v>
      </c>
      <c r="J28" s="342">
        <f>((J25/J20)^(1/5))-1</f>
        <v>0.11177191560539979</v>
      </c>
      <c r="K28" s="334"/>
      <c r="L28" s="344"/>
      <c r="M28" s="340">
        <f>((M25/M20)^(1/5))-1</f>
        <v>0.07652102968482177</v>
      </c>
      <c r="N28" s="341">
        <f>((N25/N20)^(1/5))-1</f>
        <v>0.039671136822976516</v>
      </c>
      <c r="O28" s="342">
        <f>((O25/O20)^(1/5))-1</f>
        <v>0.07990242982102957</v>
      </c>
      <c r="R28" s="289"/>
      <c r="S28" s="289"/>
      <c r="T28" s="289"/>
      <c r="W28" s="353"/>
      <c r="X28" s="354"/>
      <c r="Y28" s="354"/>
      <c r="Z28" s="355"/>
    </row>
    <row r="29" spans="2:26" ht="12.75">
      <c r="B29" s="349" t="s">
        <v>111</v>
      </c>
      <c r="C29" s="350">
        <f>(C25/C13)-1</f>
        <v>0.6092717961938099</v>
      </c>
      <c r="D29" s="351">
        <f>(D25/D13)-1</f>
        <v>0.267547752740112</v>
      </c>
      <c r="E29" s="352">
        <f>(E25/E13)-1</f>
        <v>0.8938841319610327</v>
      </c>
      <c r="F29" s="334"/>
      <c r="G29" s="343"/>
      <c r="H29" s="350">
        <f>(H25/H13)-1</f>
        <v>0.6237459261903688</v>
      </c>
      <c r="I29" s="351">
        <f>(I25/I13)-1</f>
        <v>0.2696791520246713</v>
      </c>
      <c r="J29" s="352">
        <f>(J25/J13)-1</f>
        <v>1.0022670736426091</v>
      </c>
      <c r="K29" s="334"/>
      <c r="L29" s="344"/>
      <c r="M29" s="350">
        <f>(M25/M13)-1</f>
        <v>0.5205228838724836</v>
      </c>
      <c r="N29" s="351">
        <f>(N25/N13)-1</f>
        <v>0.19431513518560517</v>
      </c>
      <c r="O29" s="352">
        <f>(O25/O13)-1</f>
        <v>0.5552646532374919</v>
      </c>
      <c r="W29" s="377"/>
      <c r="X29" s="376"/>
      <c r="Y29" s="376"/>
      <c r="Z29" s="376"/>
    </row>
    <row r="30" spans="2:26" ht="12.75" customHeight="1" thickBot="1">
      <c r="B30" s="356" t="s">
        <v>112</v>
      </c>
      <c r="C30" s="375">
        <f>((C25/C13)^(1/12))-1</f>
        <v>0.040444974088682084</v>
      </c>
      <c r="D30" s="358">
        <f>((D25/D13)^(1/12))-1</f>
        <v>0.019953472313247955</v>
      </c>
      <c r="E30" s="360">
        <f>((E25/E13)^(1/12))-1</f>
        <v>0.054660750150742565</v>
      </c>
      <c r="F30" s="334"/>
      <c r="G30" s="344"/>
      <c r="H30" s="375">
        <f>((H25/H13)^(1/12))-1</f>
        <v>0.041221609501669976</v>
      </c>
      <c r="I30" s="358">
        <f>((I25/I13)^(1/12))-1</f>
        <v>0.02009628445195144</v>
      </c>
      <c r="J30" s="360">
        <f>((J25/J13)^(1/12))-1</f>
        <v>0.05956312077145465</v>
      </c>
      <c r="K30" s="334"/>
      <c r="L30" s="344"/>
      <c r="M30" s="375">
        <f>((M25/M13)^(1/12))-1</f>
        <v>0.035538094675446</v>
      </c>
      <c r="N30" s="358">
        <f>((N25/N13)^(1/12))-1</f>
        <v>0.014907771355104904</v>
      </c>
      <c r="O30" s="360">
        <f>((O25/O13)^(1/12))-1</f>
        <v>0.037489456346142314</v>
      </c>
      <c r="W30" s="374"/>
      <c r="X30" s="373"/>
      <c r="Y30" s="373"/>
      <c r="Z30" s="373"/>
    </row>
    <row r="31" spans="2:26" ht="12.75">
      <c r="B31" s="363" t="s">
        <v>69</v>
      </c>
      <c r="R31" s="283" t="s">
        <v>46</v>
      </c>
      <c r="W31" s="353"/>
      <c r="X31" s="364"/>
      <c r="Y31" s="364"/>
      <c r="Z31" s="365"/>
    </row>
    <row r="32" spans="2:26" ht="12.75">
      <c r="B32" s="366"/>
      <c r="R32" s="283" t="s">
        <v>0</v>
      </c>
      <c r="S32" s="283" t="s">
        <v>4</v>
      </c>
      <c r="T32" s="283" t="s">
        <v>5</v>
      </c>
      <c r="U32" s="283" t="s">
        <v>68</v>
      </c>
      <c r="W32" s="367"/>
      <c r="X32" s="368"/>
      <c r="Y32" s="368"/>
      <c r="Z32" s="369"/>
    </row>
    <row r="33" spans="17:26" ht="12.75">
      <c r="Q33" s="283">
        <v>1995</v>
      </c>
      <c r="R33" s="289">
        <f aca="true" t="shared" si="11" ref="R33:R49">H8</f>
        <v>3195.392</v>
      </c>
      <c r="S33" s="289">
        <f aca="true" t="shared" si="12" ref="S33:S49">I8</f>
        <v>2205.915</v>
      </c>
      <c r="T33" s="289">
        <f aca="true" t="shared" si="13" ref="T33:T49">J8</f>
        <v>989.477</v>
      </c>
      <c r="W33" s="370"/>
      <c r="X33" s="371"/>
      <c r="Y33" s="371"/>
      <c r="Z33" s="372"/>
    </row>
    <row r="34" spans="17:20" ht="12.75">
      <c r="Q34" s="283">
        <v>1996</v>
      </c>
      <c r="R34" s="289">
        <f t="shared" si="11"/>
        <v>2879.501</v>
      </c>
      <c r="S34" s="289">
        <f t="shared" si="12"/>
        <v>1924.851</v>
      </c>
      <c r="T34" s="289">
        <f t="shared" si="13"/>
        <v>954.4</v>
      </c>
    </row>
    <row r="35" spans="17:20" ht="12.75">
      <c r="Q35" s="283">
        <v>1997</v>
      </c>
      <c r="R35" s="289">
        <f t="shared" si="11"/>
        <v>3826.8329999999996</v>
      </c>
      <c r="S35" s="289">
        <f t="shared" si="12"/>
        <v>2120.171</v>
      </c>
      <c r="T35" s="289">
        <f t="shared" si="13"/>
        <v>1706.4119999999998</v>
      </c>
    </row>
    <row r="36" spans="17:20" ht="12.75">
      <c r="Q36" s="283">
        <v>1998</v>
      </c>
      <c r="R36" s="289">
        <f t="shared" si="11"/>
        <v>4020.8509999999997</v>
      </c>
      <c r="S36" s="289">
        <f t="shared" si="12"/>
        <v>2022.9019999999998</v>
      </c>
      <c r="T36" s="289">
        <f t="shared" si="13"/>
        <v>1997.649</v>
      </c>
    </row>
    <row r="37" spans="17:20" ht="12.75">
      <c r="Q37" s="283">
        <v>1999</v>
      </c>
      <c r="R37" s="289">
        <f t="shared" si="11"/>
        <v>4317.928999999999</v>
      </c>
      <c r="S37" s="289">
        <f t="shared" si="12"/>
        <v>2242.625</v>
      </c>
      <c r="T37" s="289">
        <f t="shared" si="13"/>
        <v>2074.604</v>
      </c>
    </row>
    <row r="38" spans="17:20" ht="12.75">
      <c r="Q38" s="283">
        <v>2000</v>
      </c>
      <c r="R38" s="289">
        <f t="shared" si="11"/>
        <v>4775.935</v>
      </c>
      <c r="S38" s="289">
        <f t="shared" si="12"/>
        <v>2575.9240000000004</v>
      </c>
      <c r="T38" s="289">
        <f t="shared" si="13"/>
        <v>2199.311</v>
      </c>
    </row>
    <row r="39" spans="17:20" ht="12.75">
      <c r="Q39" s="283">
        <v>2001</v>
      </c>
      <c r="R39" s="289">
        <f t="shared" si="11"/>
        <v>4642.063999999999</v>
      </c>
      <c r="S39" s="289">
        <f t="shared" si="12"/>
        <v>2674.8349999999996</v>
      </c>
      <c r="T39" s="289">
        <f t="shared" si="13"/>
        <v>1966.529</v>
      </c>
    </row>
    <row r="40" spans="17:20" ht="12.75">
      <c r="Q40" s="317">
        <v>2002</v>
      </c>
      <c r="R40" s="289">
        <f t="shared" si="11"/>
        <v>4657.826999999999</v>
      </c>
      <c r="S40" s="289">
        <f t="shared" si="12"/>
        <v>2702.863</v>
      </c>
      <c r="T40" s="289">
        <f t="shared" si="13"/>
        <v>1954.264</v>
      </c>
    </row>
    <row r="41" spans="17:20" ht="12.75">
      <c r="Q41" s="283">
        <v>2003</v>
      </c>
      <c r="R41" s="289">
        <f t="shared" si="11"/>
        <v>4686.394</v>
      </c>
      <c r="S41" s="289">
        <f t="shared" si="12"/>
        <v>2720.2290000000003</v>
      </c>
      <c r="T41" s="289">
        <f t="shared" si="13"/>
        <v>1965.465</v>
      </c>
    </row>
    <row r="42" spans="17:20" ht="12.75">
      <c r="Q42" s="283">
        <v>2004</v>
      </c>
      <c r="R42" s="289">
        <f t="shared" si="11"/>
        <v>4657.315070000001</v>
      </c>
      <c r="S42" s="289">
        <f t="shared" si="12"/>
        <v>2747.272070000001</v>
      </c>
      <c r="T42" s="289">
        <f t="shared" si="13"/>
        <v>1909.343</v>
      </c>
    </row>
    <row r="43" spans="17:20" ht="12.75">
      <c r="Q43" s="283">
        <v>2005</v>
      </c>
      <c r="R43" s="289">
        <f t="shared" si="11"/>
        <v>4798.663</v>
      </c>
      <c r="S43" s="289">
        <f t="shared" si="12"/>
        <v>2918.773</v>
      </c>
      <c r="T43" s="289">
        <f t="shared" si="13"/>
        <v>1879.1899999999998</v>
      </c>
    </row>
    <row r="44" spans="17:20" ht="12.75">
      <c r="Q44" s="283">
        <v>2006</v>
      </c>
      <c r="R44" s="289">
        <f t="shared" si="11"/>
        <v>5064.362</v>
      </c>
      <c r="S44" s="289">
        <f t="shared" si="12"/>
        <v>2926.618</v>
      </c>
      <c r="T44" s="289">
        <f t="shared" si="13"/>
        <v>2137.0440000000003</v>
      </c>
    </row>
    <row r="45" spans="17:20" ht="12.75">
      <c r="Q45" s="317">
        <v>2007</v>
      </c>
      <c r="R45" s="289">
        <f t="shared" si="11"/>
        <v>5532.854999999999</v>
      </c>
      <c r="S45" s="289">
        <f t="shared" si="12"/>
        <v>2939.586999999998</v>
      </c>
      <c r="T45" s="289">
        <f t="shared" si="13"/>
        <v>2592.5680000000007</v>
      </c>
    </row>
    <row r="46" spans="17:20" ht="12.75">
      <c r="Q46" s="283">
        <v>2008</v>
      </c>
      <c r="R46" s="289">
        <f t="shared" si="11"/>
        <v>5444.215999999999</v>
      </c>
      <c r="S46" s="289">
        <f t="shared" si="12"/>
        <v>2953.1210000000005</v>
      </c>
      <c r="T46" s="289">
        <f t="shared" si="13"/>
        <v>2490.3949999999995</v>
      </c>
    </row>
    <row r="47" spans="17:20" ht="12.75">
      <c r="Q47" s="283">
        <v>2009</v>
      </c>
      <c r="R47" s="289">
        <f t="shared" si="11"/>
        <v>6246.409000000001</v>
      </c>
      <c r="S47" s="289">
        <f t="shared" si="12"/>
        <v>3037.1620000000003</v>
      </c>
      <c r="T47" s="289">
        <f t="shared" si="13"/>
        <v>3208.547</v>
      </c>
    </row>
    <row r="48" spans="17:20" ht="12.75">
      <c r="Q48" s="283">
        <v>2010</v>
      </c>
      <c r="R48" s="289">
        <f t="shared" si="11"/>
        <v>6875.038000000001</v>
      </c>
      <c r="S48" s="283">
        <f t="shared" si="12"/>
        <v>3237.361000000001</v>
      </c>
      <c r="T48" s="283">
        <f t="shared" si="13"/>
        <v>3636.9770000000008</v>
      </c>
    </row>
    <row r="49" spans="17:20" ht="12.75">
      <c r="Q49" s="283">
        <v>2011</v>
      </c>
      <c r="R49" s="289">
        <f t="shared" si="11"/>
        <v>6867.821000000001</v>
      </c>
      <c r="S49" s="283">
        <f t="shared" si="12"/>
        <v>3246.6250000000005</v>
      </c>
      <c r="T49" s="283">
        <f t="shared" si="13"/>
        <v>3620.4960000000005</v>
      </c>
    </row>
    <row r="50" spans="17:21" ht="12.75">
      <c r="Q50" s="283">
        <v>2012</v>
      </c>
      <c r="R50" s="289">
        <f>H25</f>
        <v>7754.905</v>
      </c>
      <c r="S50" s="283">
        <f>I25</f>
        <v>3270.5969999999998</v>
      </c>
      <c r="T50" s="283">
        <f>J25</f>
        <v>4403.608</v>
      </c>
      <c r="U50" s="283">
        <v>80</v>
      </c>
    </row>
    <row r="51" ht="12.75">
      <c r="R51" s="289"/>
    </row>
    <row r="56" ht="12.75">
      <c r="R56" s="283" t="s">
        <v>47</v>
      </c>
    </row>
    <row r="57" spans="18:20" ht="12.75">
      <c r="R57" s="283" t="s">
        <v>0</v>
      </c>
      <c r="S57" s="283" t="s">
        <v>4</v>
      </c>
      <c r="T57" s="283" t="s">
        <v>5</v>
      </c>
    </row>
    <row r="58" spans="17:20" ht="12.75">
      <c r="Q58" s="283">
        <v>1995</v>
      </c>
      <c r="R58" s="289">
        <f aca="true" t="shared" si="14" ref="R58:R74">M8</f>
        <v>880.016</v>
      </c>
      <c r="S58" s="289">
        <f aca="true" t="shared" si="15" ref="S58:S74">N8</f>
        <v>268.97</v>
      </c>
      <c r="T58" s="289">
        <f aca="true" t="shared" si="16" ref="T58:T74">O8</f>
        <v>611.0459999999999</v>
      </c>
    </row>
    <row r="59" spans="17:20" ht="12.75">
      <c r="Q59" s="283">
        <v>1996</v>
      </c>
      <c r="R59" s="289">
        <f t="shared" si="14"/>
        <v>1123.7</v>
      </c>
      <c r="S59" s="289">
        <f t="shared" si="15"/>
        <v>277.026</v>
      </c>
      <c r="T59" s="289">
        <f t="shared" si="16"/>
        <v>846.6740000000001</v>
      </c>
    </row>
    <row r="60" spans="17:20" ht="12.75">
      <c r="Q60" s="283">
        <v>1997</v>
      </c>
      <c r="R60" s="289">
        <f t="shared" si="14"/>
        <v>754.1859999999999</v>
      </c>
      <c r="S60" s="289">
        <f t="shared" si="15"/>
        <v>90.733</v>
      </c>
      <c r="T60" s="289">
        <f t="shared" si="16"/>
        <v>663.453</v>
      </c>
    </row>
    <row r="61" spans="17:20" ht="12.75">
      <c r="Q61" s="283">
        <v>1998</v>
      </c>
      <c r="R61" s="289">
        <f t="shared" si="14"/>
        <v>760.8299999999999</v>
      </c>
      <c r="S61" s="289">
        <f t="shared" si="15"/>
        <v>93.96700000000001</v>
      </c>
      <c r="T61" s="289">
        <f t="shared" si="16"/>
        <v>666.8629999999999</v>
      </c>
    </row>
    <row r="62" spans="17:20" ht="12.75">
      <c r="Q62" s="283">
        <v>1999</v>
      </c>
      <c r="R62" s="289">
        <f t="shared" si="14"/>
        <v>798.227</v>
      </c>
      <c r="S62" s="289">
        <f t="shared" si="15"/>
        <v>75.48299999999999</v>
      </c>
      <c r="T62" s="289">
        <f t="shared" si="16"/>
        <v>722.744</v>
      </c>
    </row>
    <row r="63" spans="17:20" ht="12.75">
      <c r="Q63" s="283">
        <v>2000</v>
      </c>
      <c r="R63" s="289">
        <f t="shared" si="14"/>
        <v>778.9110000000001</v>
      </c>
      <c r="S63" s="289">
        <f t="shared" si="15"/>
        <v>74.971</v>
      </c>
      <c r="T63" s="289">
        <f t="shared" si="16"/>
        <v>703.94</v>
      </c>
    </row>
    <row r="64" spans="17:20" ht="12.75">
      <c r="Q64" s="283">
        <v>2001</v>
      </c>
      <c r="R64" s="289">
        <f t="shared" si="14"/>
        <v>745.1130000000002</v>
      </c>
      <c r="S64" s="289">
        <f t="shared" si="15"/>
        <v>69.66799999999999</v>
      </c>
      <c r="T64" s="289">
        <f t="shared" si="16"/>
        <v>675.4450000000002</v>
      </c>
    </row>
    <row r="65" spans="17:20" ht="12.75">
      <c r="Q65" s="317">
        <v>2002</v>
      </c>
      <c r="R65" s="289">
        <f t="shared" si="14"/>
        <v>737.8420000000006</v>
      </c>
      <c r="S65" s="289">
        <f t="shared" si="15"/>
        <v>72.419</v>
      </c>
      <c r="T65" s="289">
        <f t="shared" si="16"/>
        <v>665.4230000000006</v>
      </c>
    </row>
    <row r="66" spans="17:20" ht="12.75">
      <c r="Q66" s="283">
        <v>2003</v>
      </c>
      <c r="R66" s="289">
        <f t="shared" si="14"/>
        <v>735.4130000000004</v>
      </c>
      <c r="S66" s="289">
        <f t="shared" si="15"/>
        <v>70.04399999999998</v>
      </c>
      <c r="T66" s="289">
        <f t="shared" si="16"/>
        <v>665.3690000000004</v>
      </c>
    </row>
    <row r="67" spans="17:20" ht="12.75">
      <c r="Q67" s="283">
        <v>2004</v>
      </c>
      <c r="R67" s="289">
        <f t="shared" si="14"/>
        <v>760.6440000000003</v>
      </c>
      <c r="S67" s="289">
        <f t="shared" si="15"/>
        <v>67.732</v>
      </c>
      <c r="T67" s="289">
        <f t="shared" si="16"/>
        <v>692.9120000000004</v>
      </c>
    </row>
    <row r="68" spans="17:20" ht="12.75">
      <c r="Q68" s="283">
        <v>2005</v>
      </c>
      <c r="R68" s="289">
        <f t="shared" si="14"/>
        <v>812.2620000000004</v>
      </c>
      <c r="S68" s="289">
        <f t="shared" si="15"/>
        <v>70.43</v>
      </c>
      <c r="T68" s="289">
        <f t="shared" si="16"/>
        <v>741.8320000000003</v>
      </c>
    </row>
    <row r="69" spans="17:20" ht="12.75">
      <c r="Q69" s="283">
        <v>2006</v>
      </c>
      <c r="R69" s="289">
        <f t="shared" si="14"/>
        <v>809.038</v>
      </c>
      <c r="S69" s="289">
        <f t="shared" si="15"/>
        <v>69.356</v>
      </c>
      <c r="T69" s="289">
        <f t="shared" si="16"/>
        <v>739.682</v>
      </c>
    </row>
    <row r="70" spans="17:20" ht="12.75">
      <c r="Q70" s="317">
        <v>2007</v>
      </c>
      <c r="R70" s="289">
        <f t="shared" si="14"/>
        <v>819.1590000000001</v>
      </c>
      <c r="S70" s="289">
        <f t="shared" si="15"/>
        <v>73.71099999999998</v>
      </c>
      <c r="T70" s="289">
        <f t="shared" si="16"/>
        <v>745.4480000000001</v>
      </c>
    </row>
    <row r="71" spans="17:20" ht="12.75">
      <c r="Q71" s="283">
        <v>2008</v>
      </c>
      <c r="R71" s="289">
        <f t="shared" si="14"/>
        <v>904.728</v>
      </c>
      <c r="S71" s="289">
        <f t="shared" si="15"/>
        <v>74.78099999999998</v>
      </c>
      <c r="T71" s="289">
        <f t="shared" si="16"/>
        <v>829.947</v>
      </c>
    </row>
    <row r="72" spans="17:20" ht="12.75">
      <c r="Q72" s="283">
        <v>2009</v>
      </c>
      <c r="R72" s="289">
        <f t="shared" si="14"/>
        <v>1009.9380000000001</v>
      </c>
      <c r="S72" s="289">
        <f t="shared" si="15"/>
        <v>78.606</v>
      </c>
      <c r="T72" s="289">
        <f t="shared" si="16"/>
        <v>931.3320000000001</v>
      </c>
    </row>
    <row r="73" spans="17:20" ht="12.75">
      <c r="Q73" s="317">
        <v>2010</v>
      </c>
      <c r="R73" s="283">
        <f t="shared" si="14"/>
        <v>1125.3490000000004</v>
      </c>
      <c r="S73" s="283">
        <f t="shared" si="15"/>
        <v>80.084</v>
      </c>
      <c r="T73" s="283">
        <f t="shared" si="16"/>
        <v>1045.2650000000003</v>
      </c>
    </row>
    <row r="74" spans="17:20" ht="12.75">
      <c r="Q74" s="317">
        <v>2011</v>
      </c>
      <c r="R74" s="283">
        <f t="shared" si="14"/>
        <v>1177.6960000000001</v>
      </c>
      <c r="S74" s="283">
        <f t="shared" si="15"/>
        <v>81.989</v>
      </c>
      <c r="T74" s="283">
        <f t="shared" si="16"/>
        <v>1095.707</v>
      </c>
    </row>
    <row r="75" spans="17:20" ht="12.75">
      <c r="Q75" s="317">
        <v>2012</v>
      </c>
      <c r="R75" s="283">
        <f>M25</f>
        <v>1184.352</v>
      </c>
      <c r="S75" s="283">
        <f>N25</f>
        <v>89.53900000000002</v>
      </c>
      <c r="T75" s="283">
        <f>O25</f>
        <v>1094.813</v>
      </c>
    </row>
    <row r="76" ht="12.75">
      <c r="Q76" s="317"/>
    </row>
  </sheetData>
  <sheetProtection/>
  <mergeCells count="1">
    <mergeCell ref="B1:O1"/>
  </mergeCells>
  <printOptions horizontalCentered="1" verticalCentered="1"/>
  <pageMargins left="0.9055118110236221" right="0.5905511811023623" top="0.7874015748031497" bottom="0.7086614173228347" header="0" footer="0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="115" zoomScaleNormal="115" zoomScalePageLayoutView="0" workbookViewId="0" topLeftCell="A22">
      <selection activeCell="B15" sqref="B15"/>
    </sheetView>
  </sheetViews>
  <sheetFormatPr defaultColWidth="11.421875" defaultRowHeight="12.75"/>
  <cols>
    <col min="1" max="1" width="11.7109375" style="0" customWidth="1"/>
    <col min="10" max="10" width="8.28125" style="0" customWidth="1"/>
  </cols>
  <sheetData>
    <row r="2" spans="1:10" ht="15.75">
      <c r="A2" s="894" t="s">
        <v>48</v>
      </c>
      <c r="B2" s="894"/>
      <c r="C2" s="894"/>
      <c r="D2" s="894"/>
      <c r="E2" s="894"/>
      <c r="F2" s="894"/>
      <c r="G2" s="894"/>
      <c r="H2" s="894"/>
      <c r="I2" s="894"/>
      <c r="J2" s="894"/>
    </row>
    <row r="4" ht="13.5" thickBot="1"/>
    <row r="5" spans="1:10" ht="12.75">
      <c r="A5" s="68"/>
      <c r="B5" s="895" t="s">
        <v>34</v>
      </c>
      <c r="C5" s="896"/>
      <c r="D5" s="896"/>
      <c r="E5" s="896"/>
      <c r="F5" s="896"/>
      <c r="G5" s="896"/>
      <c r="H5" s="896"/>
      <c r="I5" s="896"/>
      <c r="J5" s="897"/>
    </row>
    <row r="6" spans="1:10" ht="12.75">
      <c r="A6" s="69" t="s">
        <v>18</v>
      </c>
      <c r="B6" s="16" t="s">
        <v>14</v>
      </c>
      <c r="C6" s="16"/>
      <c r="D6" s="17"/>
      <c r="E6" s="18" t="s">
        <v>15</v>
      </c>
      <c r="F6" s="16"/>
      <c r="G6" s="70"/>
      <c r="H6" s="78" t="s">
        <v>33</v>
      </c>
      <c r="I6" s="16"/>
      <c r="J6" s="70"/>
    </row>
    <row r="7" spans="1:10" ht="12.75">
      <c r="A7" s="71"/>
      <c r="B7" s="19" t="s">
        <v>4</v>
      </c>
      <c r="C7" s="19" t="s">
        <v>5</v>
      </c>
      <c r="D7" s="20" t="s">
        <v>0</v>
      </c>
      <c r="E7" s="80" t="s">
        <v>4</v>
      </c>
      <c r="F7" s="19" t="s">
        <v>5</v>
      </c>
      <c r="G7" s="72" t="s">
        <v>0</v>
      </c>
      <c r="H7" s="79" t="s">
        <v>4</v>
      </c>
      <c r="I7" s="19" t="s">
        <v>5</v>
      </c>
      <c r="J7" s="72" t="s">
        <v>0</v>
      </c>
    </row>
    <row r="8" spans="1:11" ht="12.75">
      <c r="A8" s="73">
        <v>1960</v>
      </c>
      <c r="B8" s="222">
        <v>221.8</v>
      </c>
      <c r="C8" s="223">
        <v>126.6</v>
      </c>
      <c r="D8" s="224">
        <f aca="true" t="shared" si="0" ref="D8:D13">SUM(B8:C8)</f>
        <v>348.4</v>
      </c>
      <c r="E8" s="225">
        <v>193.7</v>
      </c>
      <c r="F8" s="222">
        <v>236.6</v>
      </c>
      <c r="G8" s="226">
        <f aca="true" t="shared" si="1" ref="G8:G13">SUM(E8:F8)</f>
        <v>430.29999999999995</v>
      </c>
      <c r="H8" s="227">
        <v>415.5</v>
      </c>
      <c r="I8" s="222">
        <v>363.2</v>
      </c>
      <c r="J8" s="226">
        <f>SUM(H8:I8)</f>
        <v>778.7</v>
      </c>
      <c r="K8" s="6"/>
    </row>
    <row r="9" spans="1:11" ht="12.75">
      <c r="A9" s="73">
        <v>1970</v>
      </c>
      <c r="B9" s="222">
        <v>681.1</v>
      </c>
      <c r="C9" s="223">
        <v>181.5</v>
      </c>
      <c r="D9" s="224">
        <f t="shared" si="0"/>
        <v>862.6</v>
      </c>
      <c r="E9" s="225">
        <v>241.5</v>
      </c>
      <c r="F9" s="222">
        <v>573</v>
      </c>
      <c r="G9" s="226">
        <f t="shared" si="1"/>
        <v>814.5</v>
      </c>
      <c r="H9" s="227">
        <v>922.6</v>
      </c>
      <c r="I9" s="222">
        <v>754.5</v>
      </c>
      <c r="J9" s="226">
        <f>SUM(H9:I9)</f>
        <v>1677.1</v>
      </c>
      <c r="K9" s="6"/>
    </row>
    <row r="10" spans="1:11" ht="12.75">
      <c r="A10" s="73">
        <v>1980</v>
      </c>
      <c r="B10" s="222">
        <v>1613.1</v>
      </c>
      <c r="C10" s="223">
        <v>410.1</v>
      </c>
      <c r="D10" s="224">
        <f t="shared" si="0"/>
        <v>2023.1999999999998</v>
      </c>
      <c r="E10" s="225">
        <v>254.5</v>
      </c>
      <c r="F10" s="222">
        <v>862.5</v>
      </c>
      <c r="G10" s="226">
        <f t="shared" si="1"/>
        <v>1117</v>
      </c>
      <c r="H10" s="227">
        <f aca="true" t="shared" si="2" ref="H10:I13">B10+E10</f>
        <v>1867.6</v>
      </c>
      <c r="I10" s="222">
        <f t="shared" si="2"/>
        <v>1272.6</v>
      </c>
      <c r="J10" s="226">
        <f>SUM(H10:I10)</f>
        <v>3140.2</v>
      </c>
      <c r="K10" s="6"/>
    </row>
    <row r="11" spans="1:11" ht="12.75">
      <c r="A11" s="73">
        <v>1990</v>
      </c>
      <c r="B11" s="222">
        <v>2119</v>
      </c>
      <c r="C11" s="223">
        <v>722.8</v>
      </c>
      <c r="D11" s="224">
        <f t="shared" si="0"/>
        <v>2841.8</v>
      </c>
      <c r="E11" s="225">
        <v>280.8</v>
      </c>
      <c r="F11" s="222">
        <v>1020.8</v>
      </c>
      <c r="G11" s="226">
        <f t="shared" si="1"/>
        <v>1301.6</v>
      </c>
      <c r="H11" s="227">
        <f t="shared" si="2"/>
        <v>2399.8</v>
      </c>
      <c r="I11" s="222">
        <f t="shared" si="2"/>
        <v>1743.6</v>
      </c>
      <c r="J11" s="226">
        <f>SUM(H11:I11)</f>
        <v>4143.4</v>
      </c>
      <c r="K11" s="6"/>
    </row>
    <row r="12" spans="1:11" ht="12.75">
      <c r="A12" s="73">
        <v>2000</v>
      </c>
      <c r="B12" s="222">
        <v>2779.26</v>
      </c>
      <c r="C12" s="223">
        <v>2368.891</v>
      </c>
      <c r="D12" s="224">
        <f t="shared" si="0"/>
        <v>5148.151</v>
      </c>
      <c r="E12" s="225">
        <v>77.565</v>
      </c>
      <c r="F12" s="222">
        <v>839.773</v>
      </c>
      <c r="G12" s="226">
        <f t="shared" si="1"/>
        <v>917.338</v>
      </c>
      <c r="H12" s="227">
        <f t="shared" si="2"/>
        <v>2856.8250000000003</v>
      </c>
      <c r="I12" s="222">
        <f t="shared" si="2"/>
        <v>3208.664</v>
      </c>
      <c r="J12" s="226">
        <f>SUM(H12:I12)+0.7</f>
        <v>6066.189</v>
      </c>
      <c r="K12" s="6"/>
    </row>
    <row r="13" spans="1:11" ht="12.75">
      <c r="A13" s="73">
        <v>2010</v>
      </c>
      <c r="B13" s="222">
        <v>3344.7949999999996</v>
      </c>
      <c r="C13" s="223">
        <v>3963.6709999999966</v>
      </c>
      <c r="D13" s="224">
        <f t="shared" si="0"/>
        <v>7308.465999999997</v>
      </c>
      <c r="E13" s="225">
        <v>92.80699999999997</v>
      </c>
      <c r="F13" s="222">
        <v>1210.5840000000007</v>
      </c>
      <c r="G13" s="226">
        <f t="shared" si="1"/>
        <v>1303.3910000000008</v>
      </c>
      <c r="H13" s="227">
        <f t="shared" si="2"/>
        <v>3437.6019999999994</v>
      </c>
      <c r="I13" s="222">
        <f t="shared" si="2"/>
        <v>5174.254999999997</v>
      </c>
      <c r="J13" s="226">
        <f>SUM(H13:I13)+0.7</f>
        <v>8612.556999999997</v>
      </c>
      <c r="K13" s="6"/>
    </row>
    <row r="14" spans="1:11" ht="12.75">
      <c r="A14" s="73">
        <v>2011</v>
      </c>
      <c r="B14" s="222">
        <v>3357.0599999999986</v>
      </c>
      <c r="C14" s="223">
        <v>3956.4770000000008</v>
      </c>
      <c r="D14" s="224">
        <f>SUM(B14:C14)</f>
        <v>7313.536999999999</v>
      </c>
      <c r="E14" s="225">
        <v>93.893</v>
      </c>
      <c r="F14" s="222">
        <v>1283.1969999999997</v>
      </c>
      <c r="G14" s="226">
        <f>SUM(E14:F14)</f>
        <v>1377.0899999999997</v>
      </c>
      <c r="H14" s="227">
        <f>B14+E14</f>
        <v>3450.9529999999986</v>
      </c>
      <c r="I14" s="222">
        <f>C14+F14</f>
        <v>5239.674000000001</v>
      </c>
      <c r="J14" s="226">
        <f>SUM(H14:I14)+0.7</f>
        <v>8691.327000000001</v>
      </c>
      <c r="K14" s="6"/>
    </row>
    <row r="15" spans="1:11" ht="13.5" thickBot="1">
      <c r="A15" s="74">
        <v>2012</v>
      </c>
      <c r="B15" s="228">
        <v>3380.829999999999</v>
      </c>
      <c r="C15" s="229">
        <v>4805.640999999999</v>
      </c>
      <c r="D15" s="230">
        <f>SUM(B15:C15)</f>
        <v>8186.470999999998</v>
      </c>
      <c r="E15" s="231">
        <v>103.14399999999998</v>
      </c>
      <c r="F15" s="228">
        <v>1328.7820000000006</v>
      </c>
      <c r="G15" s="232">
        <f>SUM(E15:F15)</f>
        <v>1431.9260000000006</v>
      </c>
      <c r="H15" s="233">
        <v>3483.973999999999</v>
      </c>
      <c r="I15" s="228">
        <v>6134.422999999999</v>
      </c>
      <c r="J15" s="232">
        <f>SUM(H15:I15)+80.7</f>
        <v>9699.096999999998</v>
      </c>
      <c r="K15" s="6"/>
    </row>
    <row r="16" spans="1:11" ht="12.75">
      <c r="A16" s="6"/>
      <c r="B16" s="60"/>
      <c r="C16" s="60"/>
      <c r="D16" s="31"/>
      <c r="E16" s="240"/>
      <c r="F16" s="60"/>
      <c r="G16" s="6"/>
      <c r="H16" s="6"/>
      <c r="I16" s="6"/>
      <c r="K16" s="6"/>
    </row>
    <row r="17" ht="13.5" thickBot="1">
      <c r="K17" s="6"/>
    </row>
    <row r="18" spans="1:10" ht="12.75">
      <c r="A18" s="68"/>
      <c r="B18" s="895" t="s">
        <v>35</v>
      </c>
      <c r="C18" s="896"/>
      <c r="D18" s="896"/>
      <c r="E18" s="896"/>
      <c r="F18" s="896"/>
      <c r="G18" s="896"/>
      <c r="H18" s="896"/>
      <c r="I18" s="896"/>
      <c r="J18" s="897"/>
    </row>
    <row r="19" spans="1:10" ht="12.75">
      <c r="A19" s="69" t="s">
        <v>29</v>
      </c>
      <c r="B19" s="16" t="s">
        <v>14</v>
      </c>
      <c r="C19" s="16"/>
      <c r="D19" s="17"/>
      <c r="E19" s="18" t="s">
        <v>15</v>
      </c>
      <c r="F19" s="16"/>
      <c r="G19" s="70"/>
      <c r="H19" s="78" t="s">
        <v>33</v>
      </c>
      <c r="I19" s="16"/>
      <c r="J19" s="70"/>
    </row>
    <row r="20" spans="1:10" ht="12.75">
      <c r="A20" s="75"/>
      <c r="B20" s="19" t="s">
        <v>4</v>
      </c>
      <c r="C20" s="19" t="s">
        <v>5</v>
      </c>
      <c r="D20" s="15" t="s">
        <v>0</v>
      </c>
      <c r="E20" s="80" t="s">
        <v>4</v>
      </c>
      <c r="F20" s="19" t="s">
        <v>5</v>
      </c>
      <c r="G20" s="76" t="s">
        <v>0</v>
      </c>
      <c r="H20" s="79" t="s">
        <v>4</v>
      </c>
      <c r="I20" s="19" t="s">
        <v>5</v>
      </c>
      <c r="J20" s="76" t="s">
        <v>0</v>
      </c>
    </row>
    <row r="21" spans="1:11" ht="12.75">
      <c r="A21" s="266" t="s">
        <v>115</v>
      </c>
      <c r="B21" s="67">
        <f>((B15/B8)-1)*100</f>
        <v>1424.2696122632997</v>
      </c>
      <c r="C21" s="67">
        <f aca="true" t="shared" si="3" ref="C21:J21">((C15/C8)-1)*100</f>
        <v>3695.9249605055284</v>
      </c>
      <c r="D21" s="67">
        <f t="shared" si="3"/>
        <v>2249.7333524684263</v>
      </c>
      <c r="E21" s="67">
        <f t="shared" si="3"/>
        <v>-46.75064532782655</v>
      </c>
      <c r="F21" s="67">
        <f t="shared" si="3"/>
        <v>461.61538461538487</v>
      </c>
      <c r="G21" s="67">
        <f t="shared" si="3"/>
        <v>232.77387868928673</v>
      </c>
      <c r="H21" s="67">
        <f t="shared" si="3"/>
        <v>738.5015643802644</v>
      </c>
      <c r="I21" s="67">
        <f t="shared" si="3"/>
        <v>1588.9931167400878</v>
      </c>
      <c r="J21" s="67">
        <f t="shared" si="3"/>
        <v>1145.5498908437135</v>
      </c>
      <c r="K21" s="6"/>
    </row>
    <row r="22" spans="1:11" ht="12.75">
      <c r="A22" s="77" t="s">
        <v>30</v>
      </c>
      <c r="B22" s="57">
        <f>((B9/B8)-1)*100</f>
        <v>207.07844905320107</v>
      </c>
      <c r="C22" s="57">
        <f aca="true" t="shared" si="4" ref="C22:J22">((C9/C8)-1)*100</f>
        <v>43.3649289099526</v>
      </c>
      <c r="D22" s="57">
        <f t="shared" si="4"/>
        <v>147.58897818599314</v>
      </c>
      <c r="E22" s="57">
        <f t="shared" si="4"/>
        <v>24.677336086732062</v>
      </c>
      <c r="F22" s="57">
        <f t="shared" si="4"/>
        <v>142.18089602704987</v>
      </c>
      <c r="G22" s="57">
        <f t="shared" si="4"/>
        <v>89.28654427143856</v>
      </c>
      <c r="H22" s="57">
        <f t="shared" si="4"/>
        <v>122.04572803850783</v>
      </c>
      <c r="I22" s="57">
        <f t="shared" si="4"/>
        <v>107.73678414096919</v>
      </c>
      <c r="J22" s="57">
        <f t="shared" si="4"/>
        <v>115.3717734686015</v>
      </c>
      <c r="K22" s="6"/>
    </row>
    <row r="23" spans="1:11" ht="12.75">
      <c r="A23" s="77" t="s">
        <v>31</v>
      </c>
      <c r="B23" s="57">
        <f>((B10/B9)-1)*100</f>
        <v>136.8374688004698</v>
      </c>
      <c r="C23" s="57">
        <f aca="true" t="shared" si="5" ref="C23:J23">((C10/C9)-1)*100</f>
        <v>125.95041322314052</v>
      </c>
      <c r="D23" s="57">
        <f t="shared" si="5"/>
        <v>134.54671922095986</v>
      </c>
      <c r="E23" s="57">
        <f t="shared" si="5"/>
        <v>5.3830227743271175</v>
      </c>
      <c r="F23" s="57">
        <f t="shared" si="5"/>
        <v>50.523560209424076</v>
      </c>
      <c r="G23" s="57">
        <f t="shared" si="5"/>
        <v>37.13934929404543</v>
      </c>
      <c r="H23" s="57">
        <f t="shared" si="5"/>
        <v>102.42792109256449</v>
      </c>
      <c r="I23" s="57">
        <f t="shared" si="5"/>
        <v>68.6679920477137</v>
      </c>
      <c r="J23" s="57">
        <f t="shared" si="5"/>
        <v>87.23987836145727</v>
      </c>
      <c r="K23" s="6"/>
    </row>
    <row r="24" spans="1:11" ht="12.75">
      <c r="A24" s="77" t="s">
        <v>32</v>
      </c>
      <c r="B24" s="57">
        <f>((B11/B10)-1)*100</f>
        <v>31.361973839191638</v>
      </c>
      <c r="C24" s="57">
        <f aca="true" t="shared" si="6" ref="C24:J24">((C11/C10)-1)*100</f>
        <v>76.24969519629357</v>
      </c>
      <c r="D24" s="57">
        <f t="shared" si="6"/>
        <v>40.46065638592331</v>
      </c>
      <c r="E24" s="57">
        <f t="shared" si="6"/>
        <v>10.333988212180746</v>
      </c>
      <c r="F24" s="57">
        <f t="shared" si="6"/>
        <v>18.353623188405788</v>
      </c>
      <c r="G24" s="57">
        <f t="shared" si="6"/>
        <v>16.52641002685764</v>
      </c>
      <c r="H24" s="57">
        <f t="shared" si="6"/>
        <v>28.496466052687964</v>
      </c>
      <c r="I24" s="57">
        <f t="shared" si="6"/>
        <v>37.01084394153702</v>
      </c>
      <c r="J24" s="57">
        <f t="shared" si="6"/>
        <v>31.94700974460225</v>
      </c>
      <c r="K24" s="6"/>
    </row>
    <row r="25" spans="1:11" ht="12.75">
      <c r="A25" s="77" t="s">
        <v>37</v>
      </c>
      <c r="B25" s="57">
        <f>((B12/B11)-1)*100</f>
        <v>31.15903728173668</v>
      </c>
      <c r="C25" s="57">
        <f aca="true" t="shared" si="7" ref="C25:J25">((C12/C11)-1)*100</f>
        <v>227.73810182623134</v>
      </c>
      <c r="D25" s="57">
        <f t="shared" si="7"/>
        <v>81.15810401857975</v>
      </c>
      <c r="E25" s="57">
        <f t="shared" si="7"/>
        <v>-72.37713675213675</v>
      </c>
      <c r="F25" s="57">
        <f t="shared" si="7"/>
        <v>-17.733836206896548</v>
      </c>
      <c r="G25" s="57">
        <f t="shared" si="7"/>
        <v>-29.522280270436386</v>
      </c>
      <c r="H25" s="57">
        <f t="shared" si="7"/>
        <v>19.044295357946496</v>
      </c>
      <c r="I25" s="57">
        <f t="shared" si="7"/>
        <v>84.02523514567564</v>
      </c>
      <c r="J25" s="57">
        <f t="shared" si="7"/>
        <v>46.40606748081289</v>
      </c>
      <c r="K25" s="6"/>
    </row>
    <row r="26" spans="1:11" ht="12.75">
      <c r="A26" s="77" t="s">
        <v>64</v>
      </c>
      <c r="B26" s="57">
        <f>((B13/B12)-1)*100</f>
        <v>20.348402092643347</v>
      </c>
      <c r="C26" s="57">
        <f aca="true" t="shared" si="8" ref="C26:J26">((C13/C12)-1)*100</f>
        <v>67.32179741490836</v>
      </c>
      <c r="D26" s="57">
        <f t="shared" si="8"/>
        <v>41.962929991758145</v>
      </c>
      <c r="E26" s="57">
        <f t="shared" si="8"/>
        <v>19.650615612711885</v>
      </c>
      <c r="F26" s="57">
        <f t="shared" si="8"/>
        <v>44.15609932684199</v>
      </c>
      <c r="G26" s="57">
        <f t="shared" si="8"/>
        <v>42.08405189799189</v>
      </c>
      <c r="H26" s="57">
        <f t="shared" si="8"/>
        <v>20.329456652052503</v>
      </c>
      <c r="I26" s="57">
        <f t="shared" si="8"/>
        <v>61.25886038550614</v>
      </c>
      <c r="J26" s="57">
        <f t="shared" si="8"/>
        <v>41.97640396631223</v>
      </c>
      <c r="K26" s="6"/>
    </row>
    <row r="27" spans="1:11" ht="13.5" thickBot="1">
      <c r="A27" s="821" t="s">
        <v>114</v>
      </c>
      <c r="B27" s="58">
        <f>((B15/B13)-1)*100</f>
        <v>1.0773455473354732</v>
      </c>
      <c r="C27" s="58">
        <f aca="true" t="shared" si="9" ref="C27:J27">((C15/C13)-1)*100</f>
        <v>21.242176759877474</v>
      </c>
      <c r="D27" s="58">
        <f t="shared" si="9"/>
        <v>12.013533346122184</v>
      </c>
      <c r="E27" s="58">
        <f t="shared" si="9"/>
        <v>11.1381684571207</v>
      </c>
      <c r="F27" s="58">
        <f t="shared" si="9"/>
        <v>9.763717346338607</v>
      </c>
      <c r="G27" s="58">
        <f t="shared" si="9"/>
        <v>9.861584129397837</v>
      </c>
      <c r="H27" s="58">
        <f t="shared" si="9"/>
        <v>1.3489636089343504</v>
      </c>
      <c r="I27" s="58">
        <f t="shared" si="9"/>
        <v>18.55664245384121</v>
      </c>
      <c r="J27" s="58">
        <f t="shared" si="9"/>
        <v>12.615765561841874</v>
      </c>
      <c r="K27" s="6"/>
    </row>
    <row r="29" ht="13.5" thickBot="1"/>
    <row r="30" spans="1:10" ht="12.75">
      <c r="A30" s="68"/>
      <c r="B30" s="895" t="s">
        <v>36</v>
      </c>
      <c r="C30" s="896"/>
      <c r="D30" s="896"/>
      <c r="E30" s="896"/>
      <c r="F30" s="896"/>
      <c r="G30" s="896"/>
      <c r="H30" s="896"/>
      <c r="I30" s="896"/>
      <c r="J30" s="897"/>
    </row>
    <row r="31" spans="1:10" ht="12.75">
      <c r="A31" s="69" t="s">
        <v>29</v>
      </c>
      <c r="B31" s="16" t="s">
        <v>14</v>
      </c>
      <c r="C31" s="16"/>
      <c r="D31" s="17"/>
      <c r="E31" s="18" t="s">
        <v>15</v>
      </c>
      <c r="F31" s="16"/>
      <c r="G31" s="70"/>
      <c r="H31" s="78" t="s">
        <v>33</v>
      </c>
      <c r="I31" s="16"/>
      <c r="J31" s="70"/>
    </row>
    <row r="32" spans="1:10" ht="12.75">
      <c r="A32" s="71"/>
      <c r="B32" s="19" t="s">
        <v>4</v>
      </c>
      <c r="C32" s="19" t="s">
        <v>5</v>
      </c>
      <c r="D32" s="20" t="s">
        <v>0</v>
      </c>
      <c r="E32" s="80" t="s">
        <v>4</v>
      </c>
      <c r="F32" s="19" t="s">
        <v>5</v>
      </c>
      <c r="G32" s="72" t="s">
        <v>0</v>
      </c>
      <c r="H32" s="79" t="s">
        <v>4</v>
      </c>
      <c r="I32" s="19" t="s">
        <v>5</v>
      </c>
      <c r="J32" s="72" t="s">
        <v>0</v>
      </c>
    </row>
    <row r="33" spans="1:11" ht="12.75">
      <c r="A33" s="266" t="s">
        <v>115</v>
      </c>
      <c r="B33" s="67">
        <f>(((B15/B8)^(1/51))-1)*100</f>
        <v>5.486598901183171</v>
      </c>
      <c r="C33" s="67">
        <f aca="true" t="shared" si="10" ref="C33:J33">(((C15/C8)^(1/51))-1)*100</f>
        <v>7.390783801448952</v>
      </c>
      <c r="D33" s="67">
        <f t="shared" si="10"/>
        <v>6.385568154281884</v>
      </c>
      <c r="E33" s="67">
        <f t="shared" si="10"/>
        <v>-1.228053003007945</v>
      </c>
      <c r="F33" s="67">
        <f t="shared" si="10"/>
        <v>3.441517310333797</v>
      </c>
      <c r="G33" s="67">
        <f t="shared" si="10"/>
        <v>2.385444518951463</v>
      </c>
      <c r="H33" s="67">
        <f t="shared" si="10"/>
        <v>4.257647021488942</v>
      </c>
      <c r="I33" s="67">
        <f t="shared" si="10"/>
        <v>5.699062391628673</v>
      </c>
      <c r="J33" s="67">
        <f t="shared" si="10"/>
        <v>5.06974280636221</v>
      </c>
      <c r="K33" s="6"/>
    </row>
    <row r="34" spans="1:11" ht="12.75">
      <c r="A34" s="77" t="s">
        <v>30</v>
      </c>
      <c r="B34" s="57">
        <f>(((B9/B8)^(1/10))-1)*100</f>
        <v>11.87290971639332</v>
      </c>
      <c r="C34" s="57">
        <f aca="true" t="shared" si="11" ref="C34:J34">(((C9/C8)^(1/10))-1)*100</f>
        <v>3.6678979101702813</v>
      </c>
      <c r="D34" s="57">
        <f t="shared" si="11"/>
        <v>9.489665949398884</v>
      </c>
      <c r="E34" s="57">
        <f t="shared" si="11"/>
        <v>2.230091954611302</v>
      </c>
      <c r="F34" s="57">
        <f t="shared" si="11"/>
        <v>9.248124032947613</v>
      </c>
      <c r="G34" s="57">
        <f t="shared" si="11"/>
        <v>6.588898516015185</v>
      </c>
      <c r="H34" s="57">
        <f t="shared" si="11"/>
        <v>8.303936523549037</v>
      </c>
      <c r="I34" s="57">
        <f t="shared" si="11"/>
        <v>7.584904930486114</v>
      </c>
      <c r="J34" s="57">
        <f t="shared" si="11"/>
        <v>7.973922405892719</v>
      </c>
      <c r="K34" s="6"/>
    </row>
    <row r="35" spans="1:11" ht="12.75">
      <c r="A35" s="77" t="s">
        <v>31</v>
      </c>
      <c r="B35" s="57">
        <f>(((B10/B9)^(1/10))-1)*100</f>
        <v>9.004654092260411</v>
      </c>
      <c r="C35" s="57">
        <f aca="true" t="shared" si="12" ref="C35:J35">(((C10/C9)^(1/10))-1)*100</f>
        <v>8.492899002521902</v>
      </c>
      <c r="D35" s="57">
        <f t="shared" si="12"/>
        <v>8.898760416146857</v>
      </c>
      <c r="E35" s="57">
        <f t="shared" si="12"/>
        <v>0.525690558311398</v>
      </c>
      <c r="F35" s="57">
        <f t="shared" si="12"/>
        <v>4.174265766629515</v>
      </c>
      <c r="G35" s="57">
        <f t="shared" si="12"/>
        <v>3.2086763931798545</v>
      </c>
      <c r="H35" s="57">
        <f t="shared" si="12"/>
        <v>7.306749977683613</v>
      </c>
      <c r="I35" s="57">
        <f t="shared" si="12"/>
        <v>5.366673061760552</v>
      </c>
      <c r="J35" s="57">
        <f t="shared" si="12"/>
        <v>6.473084346631142</v>
      </c>
      <c r="K35" s="6"/>
    </row>
    <row r="36" spans="1:11" ht="12.75">
      <c r="A36" s="77" t="s">
        <v>32</v>
      </c>
      <c r="B36" s="57">
        <f>(((B11/B10)^(1/10))-1)*100</f>
        <v>2.7654117229987563</v>
      </c>
      <c r="C36" s="57">
        <f aca="true" t="shared" si="13" ref="C36:J36">(((C11/C10)^(1/10))-1)*100</f>
        <v>5.830984807177808</v>
      </c>
      <c r="D36" s="57">
        <f t="shared" si="13"/>
        <v>3.455949123444091</v>
      </c>
      <c r="E36" s="57">
        <f t="shared" si="13"/>
        <v>0.9882698102846588</v>
      </c>
      <c r="F36" s="57">
        <f t="shared" si="13"/>
        <v>1.699344983130735</v>
      </c>
      <c r="G36" s="57">
        <f t="shared" si="13"/>
        <v>1.5412339370527661</v>
      </c>
      <c r="H36" s="57">
        <f t="shared" si="13"/>
        <v>2.539009599212516</v>
      </c>
      <c r="I36" s="57">
        <f t="shared" si="13"/>
        <v>3.1990012246224886</v>
      </c>
      <c r="J36" s="57">
        <f t="shared" si="13"/>
        <v>2.811088033757758</v>
      </c>
      <c r="K36" s="6"/>
    </row>
    <row r="37" spans="1:11" ht="12.75">
      <c r="A37" s="77" t="s">
        <v>37</v>
      </c>
      <c r="B37" s="57">
        <f>(((B12/B11)^(1/10))-1)*100</f>
        <v>2.7495248034068</v>
      </c>
      <c r="C37" s="57">
        <f aca="true" t="shared" si="14" ref="C37:J37">(((C12/C11)^(1/10))-1)*100</f>
        <v>12.603708387038349</v>
      </c>
      <c r="D37" s="57">
        <f t="shared" si="14"/>
        <v>6.122085639798791</v>
      </c>
      <c r="E37" s="57">
        <f t="shared" si="14"/>
        <v>-12.07206590570815</v>
      </c>
      <c r="F37" s="57">
        <f t="shared" si="14"/>
        <v>-1.933172802782268</v>
      </c>
      <c r="G37" s="57">
        <f t="shared" si="14"/>
        <v>-3.438237438846281</v>
      </c>
      <c r="H37" s="57">
        <f t="shared" si="14"/>
        <v>1.758538042131197</v>
      </c>
      <c r="I37" s="57">
        <f t="shared" si="14"/>
        <v>6.288857326716468</v>
      </c>
      <c r="J37" s="57">
        <f t="shared" si="14"/>
        <v>3.885732787997953</v>
      </c>
      <c r="K37" s="6"/>
    </row>
    <row r="38" spans="1:11" ht="12.75">
      <c r="A38" s="236" t="s">
        <v>116</v>
      </c>
      <c r="B38" s="57">
        <f>(((B15/B12)^(1/11))-1)*100</f>
        <v>1.7971999540833172</v>
      </c>
      <c r="C38" s="57">
        <f aca="true" t="shared" si="15" ref="C38:J38">(((C15/C12)^(1/11))-1)*100</f>
        <v>6.641891755909812</v>
      </c>
      <c r="D38" s="57">
        <f t="shared" si="15"/>
        <v>4.306944301259352</v>
      </c>
      <c r="E38" s="57">
        <f t="shared" si="15"/>
        <v>2.6248561008441085</v>
      </c>
      <c r="F38" s="57">
        <f t="shared" si="15"/>
        <v>4.259932402188049</v>
      </c>
      <c r="G38" s="57">
        <f t="shared" si="15"/>
        <v>4.131234558733521</v>
      </c>
      <c r="H38" s="57">
        <f t="shared" si="15"/>
        <v>1.8205807516388006</v>
      </c>
      <c r="I38" s="57">
        <f t="shared" si="15"/>
        <v>6.068472885119736</v>
      </c>
      <c r="J38" s="57">
        <f t="shared" si="15"/>
        <v>4.358702199031272</v>
      </c>
      <c r="K38" s="6"/>
    </row>
    <row r="39" spans="1:11" ht="13.5" thickBot="1">
      <c r="A39" s="821" t="s">
        <v>114</v>
      </c>
      <c r="B39" s="58">
        <f>(((B15/B13)^(1/1))-1)*100</f>
        <v>1.0773455473354732</v>
      </c>
      <c r="C39" s="58">
        <f aca="true" t="shared" si="16" ref="C39:I39">(((C15/C13)^(1/1))-1)*100</f>
        <v>21.242176759877474</v>
      </c>
      <c r="D39" s="58">
        <f t="shared" si="16"/>
        <v>12.013533346122184</v>
      </c>
      <c r="E39" s="58">
        <f t="shared" si="16"/>
        <v>11.1381684571207</v>
      </c>
      <c r="F39" s="58">
        <f t="shared" si="16"/>
        <v>9.763717346338607</v>
      </c>
      <c r="G39" s="58">
        <f t="shared" si="16"/>
        <v>9.861584129397837</v>
      </c>
      <c r="H39" s="58">
        <f t="shared" si="16"/>
        <v>1.3489636089343504</v>
      </c>
      <c r="I39" s="58">
        <f t="shared" si="16"/>
        <v>18.55664245384121</v>
      </c>
      <c r="J39" s="58">
        <f>(((J15/J13)^(1/1))-1)*100</f>
        <v>12.615765561841874</v>
      </c>
      <c r="K39" s="6"/>
    </row>
  </sheetData>
  <sheetProtection/>
  <mergeCells count="4">
    <mergeCell ref="A2:J2"/>
    <mergeCell ref="B5:J5"/>
    <mergeCell ref="B18:J18"/>
    <mergeCell ref="B30:J30"/>
  </mergeCells>
  <printOptions/>
  <pageMargins left="0.87" right="0.75" top="0.78" bottom="1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2"/>
  <sheetViews>
    <sheetView view="pageBreakPreview" zoomScaleNormal="85" zoomScaleSheetLayoutView="100" zoomScalePageLayoutView="0" workbookViewId="0" topLeftCell="A1">
      <selection activeCell="H27" sqref="H27"/>
    </sheetView>
  </sheetViews>
  <sheetFormatPr defaultColWidth="11.421875" defaultRowHeight="12.75"/>
  <cols>
    <col min="1" max="1" width="4.421875" style="283" customWidth="1"/>
    <col min="2" max="2" width="22.140625" style="283" customWidth="1"/>
    <col min="3" max="3" width="10.57421875" style="283" customWidth="1"/>
    <col min="4" max="4" width="9.7109375" style="283" customWidth="1"/>
    <col min="5" max="6" width="9.57421875" style="283" customWidth="1"/>
    <col min="7" max="7" width="6.28125" style="283" customWidth="1"/>
    <col min="8" max="8" width="9.28125" style="283" customWidth="1"/>
    <col min="9" max="9" width="10.8515625" style="283" customWidth="1"/>
    <col min="10" max="11" width="9.28125" style="283" customWidth="1"/>
    <col min="12" max="12" width="6.421875" style="283" customWidth="1"/>
    <col min="13" max="13" width="8.140625" style="283" customWidth="1"/>
    <col min="14" max="14" width="9.57421875" style="283" customWidth="1"/>
    <col min="15" max="15" width="8.8515625" style="283" customWidth="1"/>
    <col min="16" max="17" width="11.421875" style="283" customWidth="1"/>
    <col min="18" max="18" width="13.7109375" style="283" bestFit="1" customWidth="1"/>
    <col min="19" max="19" width="14.28125" style="283" bestFit="1" customWidth="1"/>
    <col min="20" max="20" width="13.7109375" style="283" bestFit="1" customWidth="1"/>
    <col min="21" max="16384" width="11.421875" style="283" customWidth="1"/>
  </cols>
  <sheetData>
    <row r="2" ht="18">
      <c r="A2" s="11" t="s">
        <v>49</v>
      </c>
    </row>
    <row r="3" ht="15" customHeight="1">
      <c r="B3" s="399"/>
    </row>
    <row r="4" ht="11.25" customHeight="1" thickBot="1"/>
    <row r="5" spans="2:22" ht="15" customHeight="1">
      <c r="B5" s="400"/>
      <c r="C5" s="400"/>
      <c r="D5" s="401" t="s">
        <v>13</v>
      </c>
      <c r="E5" s="402"/>
      <c r="F5" s="402"/>
      <c r="G5" s="403"/>
      <c r="H5" s="402" t="s">
        <v>14</v>
      </c>
      <c r="I5" s="402"/>
      <c r="J5" s="404"/>
      <c r="K5" s="404"/>
      <c r="L5" s="405"/>
      <c r="M5" s="402" t="s">
        <v>15</v>
      </c>
      <c r="N5" s="404"/>
      <c r="O5" s="406"/>
      <c r="V5" s="283" t="s">
        <v>72</v>
      </c>
    </row>
    <row r="6" spans="2:24" ht="13.5" thickBot="1">
      <c r="B6" s="407" t="s">
        <v>18</v>
      </c>
      <c r="C6" s="407" t="s">
        <v>0</v>
      </c>
      <c r="D6" s="408" t="s">
        <v>4</v>
      </c>
      <c r="E6" s="409" t="s">
        <v>5</v>
      </c>
      <c r="F6" s="410" t="s">
        <v>68</v>
      </c>
      <c r="G6" s="410" t="s">
        <v>6</v>
      </c>
      <c r="H6" s="410" t="s">
        <v>0</v>
      </c>
      <c r="I6" s="409" t="s">
        <v>4</v>
      </c>
      <c r="J6" s="409" t="s">
        <v>5</v>
      </c>
      <c r="K6" s="409" t="s">
        <v>68</v>
      </c>
      <c r="L6" s="409" t="s">
        <v>6</v>
      </c>
      <c r="M6" s="411" t="s">
        <v>0</v>
      </c>
      <c r="N6" s="412" t="s">
        <v>4</v>
      </c>
      <c r="O6" s="413" t="s">
        <v>5</v>
      </c>
      <c r="V6" s="287" t="s">
        <v>66</v>
      </c>
      <c r="W6" s="287" t="s">
        <v>3</v>
      </c>
      <c r="X6" s="288" t="s">
        <v>67</v>
      </c>
    </row>
    <row r="7" spans="2:24" ht="12.75">
      <c r="B7" s="414"/>
      <c r="C7" s="415"/>
      <c r="D7" s="416"/>
      <c r="E7" s="417"/>
      <c r="F7" s="418"/>
      <c r="G7" s="419"/>
      <c r="H7" s="420"/>
      <c r="I7" s="296"/>
      <c r="J7" s="296"/>
      <c r="K7" s="296"/>
      <c r="L7" s="297"/>
      <c r="M7" s="298"/>
      <c r="N7" s="296"/>
      <c r="O7" s="300"/>
      <c r="V7" s="367"/>
      <c r="W7" s="367"/>
      <c r="X7" s="421"/>
    </row>
    <row r="8" spans="2:24" ht="12.75">
      <c r="B8" s="422">
        <v>1995</v>
      </c>
      <c r="C8" s="423">
        <f aca="true" t="shared" si="0" ref="C8:C13">SUM(D8:G8)</f>
        <v>16880.114601</v>
      </c>
      <c r="D8" s="424">
        <f aca="true" t="shared" si="1" ref="D8:E13">(I8+N8)</f>
        <v>12937.553461</v>
      </c>
      <c r="E8" s="425">
        <f t="shared" si="1"/>
        <v>3942.5611400000003</v>
      </c>
      <c r="F8" s="426"/>
      <c r="G8" s="427" t="s">
        <v>7</v>
      </c>
      <c r="H8" s="428">
        <f aca="true" t="shared" si="2" ref="H8:H24">SUM(I8:L8)</f>
        <v>13106.313096999998</v>
      </c>
      <c r="I8" s="326">
        <v>11540.590328999999</v>
      </c>
      <c r="J8" s="326">
        <v>1565.722768</v>
      </c>
      <c r="K8" s="326"/>
      <c r="L8" s="327" t="str">
        <f>+'[3]Desagregado'!N8</f>
        <v>---</v>
      </c>
      <c r="M8" s="429">
        <f aca="true" t="shared" si="3" ref="M8:M24">SUM(N8:O8)</f>
        <v>3773.801504</v>
      </c>
      <c r="N8" s="326">
        <v>1396.9631319999999</v>
      </c>
      <c r="O8" s="329">
        <v>2376.838372</v>
      </c>
      <c r="V8" s="290">
        <v>1995</v>
      </c>
      <c r="W8" s="291">
        <v>16880.1</v>
      </c>
      <c r="X8" s="301"/>
    </row>
    <row r="9" spans="2:24" ht="12.75">
      <c r="B9" s="414">
        <v>1996</v>
      </c>
      <c r="C9" s="430">
        <f t="shared" si="0"/>
        <v>17279.812293</v>
      </c>
      <c r="D9" s="416">
        <f t="shared" si="1"/>
        <v>13323.572078</v>
      </c>
      <c r="E9" s="417">
        <f t="shared" si="1"/>
        <v>3955.8302150000004</v>
      </c>
      <c r="F9" s="418"/>
      <c r="G9" s="431">
        <f>+L9</f>
        <v>0.41</v>
      </c>
      <c r="H9" s="418">
        <f t="shared" si="2"/>
        <v>13307.577021</v>
      </c>
      <c r="I9" s="296">
        <v>11847.925377</v>
      </c>
      <c r="J9" s="296">
        <v>1459.2416440000002</v>
      </c>
      <c r="K9" s="296"/>
      <c r="L9" s="432">
        <f>+'[3]Desagregado'!N9</f>
        <v>0.41</v>
      </c>
      <c r="M9" s="295">
        <f t="shared" si="3"/>
        <v>3972.2352720000004</v>
      </c>
      <c r="N9" s="296">
        <v>1475.6467010000001</v>
      </c>
      <c r="O9" s="300">
        <v>2496.5885710000002</v>
      </c>
      <c r="V9" s="290">
        <v>1996</v>
      </c>
      <c r="W9" s="291">
        <v>17279.808</v>
      </c>
      <c r="X9" s="301">
        <f>(W9/W8)-1</f>
        <v>0.023679243606376854</v>
      </c>
    </row>
    <row r="10" spans="2:24" ht="12.75">
      <c r="B10" s="422">
        <v>1997</v>
      </c>
      <c r="C10" s="433">
        <f t="shared" si="0"/>
        <v>17953.407575</v>
      </c>
      <c r="D10" s="424">
        <f t="shared" si="1"/>
        <v>13214.529482000002</v>
      </c>
      <c r="E10" s="425">
        <f t="shared" si="1"/>
        <v>4738.322437000001</v>
      </c>
      <c r="F10" s="426"/>
      <c r="G10" s="427">
        <f aca="true" t="shared" si="4" ref="G10:G23">+L10</f>
        <v>0.5556559999999999</v>
      </c>
      <c r="H10" s="428">
        <f t="shared" si="2"/>
        <v>15348.556876000002</v>
      </c>
      <c r="I10" s="326">
        <v>12264.791790000001</v>
      </c>
      <c r="J10" s="326">
        <v>3083.209430000001</v>
      </c>
      <c r="K10" s="326"/>
      <c r="L10" s="327">
        <f>+'[3]Desagregado'!N10</f>
        <v>0.5556559999999999</v>
      </c>
      <c r="M10" s="429">
        <f t="shared" si="3"/>
        <v>2604.8506989999996</v>
      </c>
      <c r="N10" s="326">
        <v>949.7376919999999</v>
      </c>
      <c r="O10" s="329">
        <v>1655.113007</v>
      </c>
      <c r="V10" s="290">
        <v>1997</v>
      </c>
      <c r="W10" s="291">
        <v>17953.41</v>
      </c>
      <c r="X10" s="301">
        <f>(W10/W9)-1</f>
        <v>0.03898203035589276</v>
      </c>
    </row>
    <row r="11" spans="2:24" ht="12.75">
      <c r="B11" s="414">
        <v>1998</v>
      </c>
      <c r="C11" s="415">
        <f t="shared" si="0"/>
        <v>18582.538846000003</v>
      </c>
      <c r="D11" s="416">
        <f t="shared" si="1"/>
        <v>13808.285138000003</v>
      </c>
      <c r="E11" s="417">
        <f t="shared" si="1"/>
        <v>4773.727268000001</v>
      </c>
      <c r="F11" s="418"/>
      <c r="G11" s="431">
        <f t="shared" si="4"/>
        <v>0.52644</v>
      </c>
      <c r="H11" s="420">
        <f t="shared" si="2"/>
        <v>16815.936847000004</v>
      </c>
      <c r="I11" s="296">
        <v>13367.193777000002</v>
      </c>
      <c r="J11" s="296">
        <v>3448.21663</v>
      </c>
      <c r="K11" s="296"/>
      <c r="L11" s="312">
        <f>+'[3]Desagregado'!N11</f>
        <v>0.52644</v>
      </c>
      <c r="M11" s="298">
        <f t="shared" si="3"/>
        <v>1766.6019990000002</v>
      </c>
      <c r="N11" s="296">
        <v>441.091361</v>
      </c>
      <c r="O11" s="300">
        <v>1325.5106380000002</v>
      </c>
      <c r="V11" s="318">
        <v>1998</v>
      </c>
      <c r="W11" s="434">
        <v>18582.5</v>
      </c>
      <c r="X11" s="320">
        <f>(W11/W10)-1</f>
        <v>0.03504014000682876</v>
      </c>
    </row>
    <row r="12" spans="2:24" ht="12.75">
      <c r="B12" s="422">
        <v>1999</v>
      </c>
      <c r="C12" s="433">
        <f t="shared" si="0"/>
        <v>19049.617396999998</v>
      </c>
      <c r="D12" s="424">
        <f t="shared" si="1"/>
        <v>14540.581285</v>
      </c>
      <c r="E12" s="425">
        <f t="shared" si="1"/>
        <v>4508.411532</v>
      </c>
      <c r="F12" s="426"/>
      <c r="G12" s="427">
        <f t="shared" si="4"/>
        <v>0.62458</v>
      </c>
      <c r="H12" s="428">
        <f t="shared" si="2"/>
        <v>17366.221878</v>
      </c>
      <c r="I12" s="326">
        <v>14110.592026</v>
      </c>
      <c r="J12" s="326">
        <v>3255.005272</v>
      </c>
      <c r="K12" s="326"/>
      <c r="L12" s="327">
        <f>+'[3]Desagregado'!N12</f>
        <v>0.62458</v>
      </c>
      <c r="M12" s="429">
        <f t="shared" si="3"/>
        <v>1683.3955190000001</v>
      </c>
      <c r="N12" s="326">
        <v>429.98925900000006</v>
      </c>
      <c r="O12" s="329">
        <v>1253.40626</v>
      </c>
      <c r="V12" s="435"/>
      <c r="W12" s="436"/>
      <c r="X12" s="437"/>
    </row>
    <row r="13" spans="2:24" ht="12.75">
      <c r="B13" s="414">
        <v>2000</v>
      </c>
      <c r="C13" s="430">
        <f t="shared" si="0"/>
        <v>19922.697338</v>
      </c>
      <c r="D13" s="416">
        <f t="shared" si="1"/>
        <v>16176.051366</v>
      </c>
      <c r="E13" s="417">
        <f t="shared" si="1"/>
        <v>3745.8002719999995</v>
      </c>
      <c r="F13" s="418"/>
      <c r="G13" s="431">
        <f t="shared" si="4"/>
        <v>0.8457</v>
      </c>
      <c r="H13" s="420">
        <f t="shared" si="2"/>
        <v>18327.897719</v>
      </c>
      <c r="I13" s="296">
        <v>15747.323264999999</v>
      </c>
      <c r="J13" s="296">
        <v>2579.7287539999998</v>
      </c>
      <c r="K13" s="296"/>
      <c r="L13" s="312">
        <f>+'[3]Desagregado'!N13</f>
        <v>0.8457</v>
      </c>
      <c r="M13" s="298">
        <f t="shared" si="3"/>
        <v>1594.7996189999994</v>
      </c>
      <c r="N13" s="296">
        <v>428.728101</v>
      </c>
      <c r="O13" s="300">
        <v>1166.0715179999995</v>
      </c>
      <c r="V13" s="435"/>
      <c r="W13" s="436"/>
      <c r="X13" s="437"/>
    </row>
    <row r="14" spans="2:15" ht="12.75">
      <c r="B14" s="325">
        <v>2001</v>
      </c>
      <c r="C14" s="423">
        <f aca="true" t="shared" si="5" ref="C14:C24">SUM(D14:G14)</f>
        <v>20785.725534999998</v>
      </c>
      <c r="D14" s="424">
        <f>(I14+N14)</f>
        <v>17614.760199999997</v>
      </c>
      <c r="E14" s="425">
        <f>(J14+O14)</f>
        <v>3169.738935</v>
      </c>
      <c r="F14" s="426"/>
      <c r="G14" s="427">
        <f t="shared" si="4"/>
        <v>1.2264000000000002</v>
      </c>
      <c r="H14" s="428">
        <f t="shared" si="2"/>
        <v>19214.506641999997</v>
      </c>
      <c r="I14" s="326">
        <v>17188.330774</v>
      </c>
      <c r="J14" s="326">
        <v>2024.9494680000003</v>
      </c>
      <c r="K14" s="326"/>
      <c r="L14" s="327">
        <f>+'[3]Desagregado'!N16</f>
        <v>1.2264000000000002</v>
      </c>
      <c r="M14" s="429">
        <f t="shared" si="3"/>
        <v>1571.2188929999998</v>
      </c>
      <c r="N14" s="326">
        <v>426.42942600000003</v>
      </c>
      <c r="O14" s="329">
        <v>1144.7894669999996</v>
      </c>
    </row>
    <row r="15" spans="2:24" ht="12.75">
      <c r="B15" s="309">
        <v>2002</v>
      </c>
      <c r="C15" s="430">
        <f t="shared" si="5"/>
        <v>21982.323172000008</v>
      </c>
      <c r="D15" s="416">
        <f aca="true" t="shared" si="6" ref="D15:E24">SUM(I15,N15)</f>
        <v>18040.127915000005</v>
      </c>
      <c r="E15" s="417">
        <f t="shared" si="6"/>
        <v>3940.9688570000035</v>
      </c>
      <c r="F15" s="417"/>
      <c r="G15" s="438">
        <f t="shared" si="4"/>
        <v>1.2264000000000002</v>
      </c>
      <c r="H15" s="418">
        <f t="shared" si="2"/>
        <v>20419.508673000004</v>
      </c>
      <c r="I15" s="310">
        <v>17638.158238000004</v>
      </c>
      <c r="J15" s="310">
        <v>2780.1240350000003</v>
      </c>
      <c r="K15" s="310"/>
      <c r="L15" s="312">
        <f>+'[3]Desagregado'!N17</f>
        <v>1.2264000000000002</v>
      </c>
      <c r="M15" s="298">
        <f t="shared" si="3"/>
        <v>1562.8144990000035</v>
      </c>
      <c r="N15" s="296">
        <v>401.9696770000001</v>
      </c>
      <c r="O15" s="300">
        <v>1160.8448220000034</v>
      </c>
      <c r="V15" s="435"/>
      <c r="W15" s="436"/>
      <c r="X15" s="437"/>
    </row>
    <row r="16" spans="2:24" ht="12.75">
      <c r="B16" s="325">
        <v>2003</v>
      </c>
      <c r="C16" s="423">
        <f t="shared" si="5"/>
        <v>22923.353873999997</v>
      </c>
      <c r="D16" s="424">
        <f t="shared" si="6"/>
        <v>18533.720860999994</v>
      </c>
      <c r="E16" s="425">
        <f t="shared" si="6"/>
        <v>4388.406613000003</v>
      </c>
      <c r="F16" s="425"/>
      <c r="G16" s="439">
        <f t="shared" si="4"/>
        <v>1.2264000000000002</v>
      </c>
      <c r="H16" s="426">
        <f t="shared" si="2"/>
        <v>21361.462929999994</v>
      </c>
      <c r="I16" s="328">
        <v>18118.333137999995</v>
      </c>
      <c r="J16" s="328">
        <v>3241.9033919999997</v>
      </c>
      <c r="K16" s="328"/>
      <c r="L16" s="327">
        <f>+'[3]Desagregado'!N18</f>
        <v>1.2264000000000002</v>
      </c>
      <c r="M16" s="429">
        <f t="shared" si="3"/>
        <v>1561.8909440000034</v>
      </c>
      <c r="N16" s="326">
        <v>415.38772300000005</v>
      </c>
      <c r="O16" s="329">
        <v>1146.5032210000034</v>
      </c>
      <c r="V16" s="435"/>
      <c r="W16" s="436"/>
      <c r="X16" s="437"/>
    </row>
    <row r="17" spans="2:24" ht="12.75">
      <c r="B17" s="309">
        <v>2004</v>
      </c>
      <c r="C17" s="430">
        <f t="shared" si="5"/>
        <v>24267.012071000005</v>
      </c>
      <c r="D17" s="416">
        <f t="shared" si="6"/>
        <v>17525.338961000005</v>
      </c>
      <c r="E17" s="417">
        <f t="shared" si="6"/>
        <v>6740.446710000001</v>
      </c>
      <c r="F17" s="417"/>
      <c r="G17" s="438">
        <f t="shared" si="4"/>
        <v>1.2264000000000002</v>
      </c>
      <c r="H17" s="418">
        <f t="shared" si="2"/>
        <v>22619.938791000004</v>
      </c>
      <c r="I17" s="310">
        <v>17100.664633000004</v>
      </c>
      <c r="J17" s="310">
        <v>5518.047758000001</v>
      </c>
      <c r="K17" s="310"/>
      <c r="L17" s="312">
        <f>+'[3]Desagregado'!N19</f>
        <v>1.2264000000000002</v>
      </c>
      <c r="M17" s="298">
        <f t="shared" si="3"/>
        <v>1647.0732800000003</v>
      </c>
      <c r="N17" s="296">
        <v>424.674328</v>
      </c>
      <c r="O17" s="300">
        <v>1222.3989520000002</v>
      </c>
      <c r="V17" s="435"/>
      <c r="W17" s="436"/>
      <c r="X17" s="437"/>
    </row>
    <row r="18" spans="2:24" ht="12.75">
      <c r="B18" s="325">
        <v>2005</v>
      </c>
      <c r="C18" s="423">
        <f t="shared" si="5"/>
        <v>25509.736815000004</v>
      </c>
      <c r="D18" s="424">
        <f t="shared" si="6"/>
        <v>17976.993336</v>
      </c>
      <c r="E18" s="425">
        <f t="shared" si="6"/>
        <v>7531.517079000003</v>
      </c>
      <c r="F18" s="425"/>
      <c r="G18" s="439">
        <f t="shared" si="4"/>
        <v>1.2264000000000002</v>
      </c>
      <c r="H18" s="426">
        <f t="shared" si="2"/>
        <v>23810.874944792748</v>
      </c>
      <c r="I18" s="328">
        <v>17567.10537779275</v>
      </c>
      <c r="J18" s="328">
        <v>6242.543167</v>
      </c>
      <c r="K18" s="328"/>
      <c r="L18" s="327">
        <f>+'[3]Desagregado'!N20</f>
        <v>1.2264000000000002</v>
      </c>
      <c r="M18" s="429">
        <f t="shared" si="3"/>
        <v>1698.861870207253</v>
      </c>
      <c r="N18" s="326">
        <v>409.88795820724977</v>
      </c>
      <c r="O18" s="329">
        <v>1288.9739120000033</v>
      </c>
      <c r="V18" s="435"/>
      <c r="W18" s="436"/>
      <c r="X18" s="437"/>
    </row>
    <row r="19" spans="2:24" ht="12.75">
      <c r="B19" s="440">
        <v>2006</v>
      </c>
      <c r="C19" s="430">
        <f>SUM(D19:G19)</f>
        <v>27369.828727579996</v>
      </c>
      <c r="D19" s="416">
        <f t="shared" si="6"/>
        <v>19594.347163999995</v>
      </c>
      <c r="E19" s="417">
        <f t="shared" si="6"/>
        <v>7774.255163580001</v>
      </c>
      <c r="F19" s="417"/>
      <c r="G19" s="438">
        <f t="shared" si="4"/>
        <v>1.2264000000000002</v>
      </c>
      <c r="H19" s="418">
        <f t="shared" si="2"/>
        <v>25613.763789958582</v>
      </c>
      <c r="I19" s="310">
        <v>19160.75164295858</v>
      </c>
      <c r="J19" s="310">
        <v>6451.785747000001</v>
      </c>
      <c r="K19" s="310"/>
      <c r="L19" s="312">
        <f>+'[3]Desagregado'!N21</f>
        <v>1.2264000000000002</v>
      </c>
      <c r="M19" s="298">
        <f t="shared" si="3"/>
        <v>1756.064937621414</v>
      </c>
      <c r="N19" s="296">
        <v>433.59552104141386</v>
      </c>
      <c r="O19" s="300">
        <v>1322.4694165800001</v>
      </c>
      <c r="V19" s="435"/>
      <c r="W19" s="436"/>
      <c r="X19" s="437"/>
    </row>
    <row r="20" spans="2:24" ht="12.75">
      <c r="B20" s="383">
        <v>2007</v>
      </c>
      <c r="C20" s="433">
        <f t="shared" si="5"/>
        <v>29943.047142000003</v>
      </c>
      <c r="D20" s="424">
        <f t="shared" si="6"/>
        <v>19548.782020000002</v>
      </c>
      <c r="E20" s="424">
        <f t="shared" si="6"/>
        <v>10393.038722000001</v>
      </c>
      <c r="F20" s="424"/>
      <c r="G20" s="439">
        <f t="shared" si="4"/>
        <v>1.2264000000000002</v>
      </c>
      <c r="H20" s="426">
        <f t="shared" si="2"/>
        <v>28200.49109034</v>
      </c>
      <c r="I20" s="328">
        <v>19107.19396634</v>
      </c>
      <c r="J20" s="328">
        <v>9092.070724000001</v>
      </c>
      <c r="K20" s="328"/>
      <c r="L20" s="327">
        <f>+'[3]Desagregado'!N22</f>
        <v>1.2264000000000002</v>
      </c>
      <c r="M20" s="429">
        <f t="shared" si="3"/>
        <v>1742.5560516600003</v>
      </c>
      <c r="N20" s="326">
        <v>441.58805366</v>
      </c>
      <c r="O20" s="329">
        <v>1300.9679980000003</v>
      </c>
      <c r="V20" s="435"/>
      <c r="W20" s="436"/>
      <c r="X20" s="437"/>
    </row>
    <row r="21" spans="2:24" ht="12.75">
      <c r="B21" s="441">
        <v>2008</v>
      </c>
      <c r="C21" s="442">
        <f t="shared" si="5"/>
        <v>32463.106282999997</v>
      </c>
      <c r="D21" s="443">
        <f t="shared" si="6"/>
        <v>19059.617748999997</v>
      </c>
      <c r="E21" s="443">
        <f t="shared" si="6"/>
        <v>13402.262134</v>
      </c>
      <c r="F21" s="443"/>
      <c r="G21" s="444">
        <f t="shared" si="4"/>
        <v>1.2264000000000004</v>
      </c>
      <c r="H21" s="445">
        <f t="shared" si="2"/>
        <v>30574.711256</v>
      </c>
      <c r="I21" s="324">
        <v>18607.792106999997</v>
      </c>
      <c r="J21" s="324">
        <v>11965.692749000002</v>
      </c>
      <c r="K21" s="324"/>
      <c r="L21" s="323">
        <f>+'[3]Desagregado'!N23</f>
        <v>1.2264000000000004</v>
      </c>
      <c r="M21" s="446">
        <f t="shared" si="3"/>
        <v>1888.3950269999998</v>
      </c>
      <c r="N21" s="322">
        <v>451.825642</v>
      </c>
      <c r="O21" s="330">
        <v>1436.5693849999998</v>
      </c>
      <c r="V21" s="435"/>
      <c r="W21" s="436"/>
      <c r="X21" s="437"/>
    </row>
    <row r="22" spans="2:24" ht="12.75">
      <c r="B22" s="383">
        <v>2009</v>
      </c>
      <c r="C22" s="433">
        <f t="shared" si="5"/>
        <v>32944.735820999995</v>
      </c>
      <c r="D22" s="424">
        <f t="shared" si="6"/>
        <v>19903.776404</v>
      </c>
      <c r="E22" s="424">
        <f t="shared" si="6"/>
        <v>13039.733016999999</v>
      </c>
      <c r="F22" s="424"/>
      <c r="G22" s="439">
        <f t="shared" si="4"/>
        <v>1.2264000000000002</v>
      </c>
      <c r="H22" s="426">
        <f t="shared" si="2"/>
        <v>30921.902782999998</v>
      </c>
      <c r="I22" s="328">
        <v>19419.221612</v>
      </c>
      <c r="J22" s="328">
        <v>11501.454770999999</v>
      </c>
      <c r="K22" s="328"/>
      <c r="L22" s="327">
        <f>+'[3]Desagregado'!N24</f>
        <v>1.2264000000000002</v>
      </c>
      <c r="M22" s="429">
        <f t="shared" si="3"/>
        <v>2022.8330380000002</v>
      </c>
      <c r="N22" s="326">
        <v>484.5547920000001</v>
      </c>
      <c r="O22" s="329">
        <v>1538.278246</v>
      </c>
      <c r="V22" s="435"/>
      <c r="W22" s="436"/>
      <c r="X22" s="437"/>
    </row>
    <row r="23" spans="2:24" ht="12.75">
      <c r="B23" s="441">
        <v>2010</v>
      </c>
      <c r="C23" s="442">
        <f t="shared" si="5"/>
        <v>35908.0079412</v>
      </c>
      <c r="D23" s="443">
        <f t="shared" si="6"/>
        <v>20052.1292802</v>
      </c>
      <c r="E23" s="443">
        <f t="shared" si="6"/>
        <v>15854.652261</v>
      </c>
      <c r="F23" s="443"/>
      <c r="G23" s="444">
        <f t="shared" si="4"/>
        <v>1.2264000000000002</v>
      </c>
      <c r="H23" s="445">
        <f t="shared" si="2"/>
        <v>33545.81580719999</v>
      </c>
      <c r="I23" s="324">
        <v>19567.4046092</v>
      </c>
      <c r="J23" s="322">
        <v>13977.184797999998</v>
      </c>
      <c r="K23" s="322"/>
      <c r="L23" s="323">
        <f>+'[3]Desagregado'!N25</f>
        <v>1.2264000000000002</v>
      </c>
      <c r="M23" s="446">
        <f t="shared" si="3"/>
        <v>2362.192134</v>
      </c>
      <c r="N23" s="322">
        <v>484.72467099999994</v>
      </c>
      <c r="O23" s="330">
        <v>1877.467463</v>
      </c>
      <c r="V23" s="435"/>
      <c r="W23" s="436"/>
      <c r="X23" s="437"/>
    </row>
    <row r="24" spans="2:24" s="321" customFormat="1" ht="12.75">
      <c r="B24" s="383">
        <v>2011</v>
      </c>
      <c r="C24" s="433">
        <f t="shared" si="5"/>
        <v>38806.461244008904</v>
      </c>
      <c r="D24" s="424">
        <f t="shared" si="6"/>
        <v>21557.32671678524</v>
      </c>
      <c r="E24" s="424">
        <f t="shared" si="6"/>
        <v>17247.908127223665</v>
      </c>
      <c r="F24" s="424"/>
      <c r="G24" s="439">
        <f>+L24</f>
        <v>1.2264000000000004</v>
      </c>
      <c r="H24" s="426">
        <f t="shared" si="2"/>
        <v>36248.532290235235</v>
      </c>
      <c r="I24" s="328">
        <v>21027.41840423524</v>
      </c>
      <c r="J24" s="326">
        <v>15219.887485999994</v>
      </c>
      <c r="K24" s="326"/>
      <c r="L24" s="327">
        <f>+'[3]Desagregado'!N26</f>
        <v>1.2264000000000004</v>
      </c>
      <c r="M24" s="429">
        <f t="shared" si="3"/>
        <v>2557.928953773672</v>
      </c>
      <c r="N24" s="326">
        <v>529.9083125500001</v>
      </c>
      <c r="O24" s="329">
        <v>2028.0206412236719</v>
      </c>
      <c r="V24" s="447"/>
      <c r="W24" s="448"/>
      <c r="X24" s="449"/>
    </row>
    <row r="25" spans="2:24" s="321" customFormat="1" ht="12.75">
      <c r="B25" s="441">
        <v>2012</v>
      </c>
      <c r="C25" s="442">
        <v>41020.02759556248</v>
      </c>
      <c r="D25" s="443">
        <v>22044.041061560612</v>
      </c>
      <c r="E25" s="443">
        <v>18919.17676720231</v>
      </c>
      <c r="F25" s="443">
        <v>55.583366799564</v>
      </c>
      <c r="G25" s="444">
        <v>1.2264000000000004</v>
      </c>
      <c r="H25" s="445">
        <v>38352.70088515454</v>
      </c>
      <c r="I25" s="324">
        <v>21489.314383560613</v>
      </c>
      <c r="J25" s="322">
        <v>16806.576734794362</v>
      </c>
      <c r="K25" s="322">
        <v>55.583366799564</v>
      </c>
      <c r="L25" s="323">
        <v>1.2264000000000004</v>
      </c>
      <c r="M25" s="446">
        <v>2667.326710407946</v>
      </c>
      <c r="N25" s="322">
        <v>554.726678</v>
      </c>
      <c r="O25" s="330">
        <v>2112.600032407946</v>
      </c>
      <c r="V25" s="447"/>
      <c r="W25" s="448"/>
      <c r="X25" s="449"/>
    </row>
    <row r="26" spans="1:24" s="450" customFormat="1" ht="13.5" thickBot="1">
      <c r="A26" s="321"/>
      <c r="B26" s="441"/>
      <c r="C26" s="442"/>
      <c r="D26" s="443"/>
      <c r="E26" s="443"/>
      <c r="F26" s="443"/>
      <c r="G26" s="444"/>
      <c r="H26" s="445"/>
      <c r="I26" s="324"/>
      <c r="J26" s="322"/>
      <c r="K26" s="322"/>
      <c r="L26" s="323"/>
      <c r="M26" s="446"/>
      <c r="N26" s="322"/>
      <c r="O26" s="330"/>
      <c r="R26" s="283"/>
      <c r="S26" s="283" t="s">
        <v>4</v>
      </c>
      <c r="T26" s="283" t="s">
        <v>5</v>
      </c>
      <c r="V26" s="451"/>
      <c r="W26" s="452"/>
      <c r="X26" s="453"/>
    </row>
    <row r="27" spans="2:20" ht="12.75" customHeight="1">
      <c r="B27" s="454" t="s">
        <v>109</v>
      </c>
      <c r="C27" s="455">
        <f>(C25/C24)-1</f>
        <v>0.057041180272404235</v>
      </c>
      <c r="D27" s="456">
        <f>(D25/D24)-1</f>
        <v>0.022577676312545814</v>
      </c>
      <c r="E27" s="457">
        <f>(E25/E24)-1</f>
        <v>0.09689688904017024</v>
      </c>
      <c r="F27" s="458"/>
      <c r="G27" s="459"/>
      <c r="H27" s="830">
        <f>(H25/H24)-1</f>
        <v>0.058048380499150065</v>
      </c>
      <c r="I27" s="460">
        <f>(I25/I24)-1</f>
        <v>0.02196636650518835</v>
      </c>
      <c r="J27" s="457">
        <f>(J25/J24)-1</f>
        <v>0.10425104983554467</v>
      </c>
      <c r="K27" s="458"/>
      <c r="L27" s="459"/>
      <c r="M27" s="455">
        <f>(M25/M24)-1</f>
        <v>0.042768098180710146</v>
      </c>
      <c r="N27" s="460">
        <f>(N25/N24)-1</f>
        <v>0.04683520688809373</v>
      </c>
      <c r="O27" s="457">
        <f>(O25/O24)-1</f>
        <v>0.04170538971104376</v>
      </c>
      <c r="R27" s="283">
        <v>1995</v>
      </c>
      <c r="S27" s="461">
        <f aca="true" t="shared" si="7" ref="S27:S43">D8</f>
        <v>12937.553461</v>
      </c>
      <c r="T27" s="461">
        <f aca="true" t="shared" si="8" ref="T27:T43">E8</f>
        <v>3942.5611400000003</v>
      </c>
    </row>
    <row r="28" spans="2:20" ht="12.75" customHeight="1">
      <c r="B28" s="462" t="s">
        <v>110</v>
      </c>
      <c r="C28" s="463">
        <f>((C25/C20)^(1/5))-1</f>
        <v>0.06497641707337065</v>
      </c>
      <c r="D28" s="464">
        <f>((D25/D20)^(1/5))-1</f>
        <v>0.024316813551993333</v>
      </c>
      <c r="E28" s="465">
        <f>((E25/E20)^(1/5))-1</f>
        <v>0.12728035307091146</v>
      </c>
      <c r="F28" s="466"/>
      <c r="G28" s="467"/>
      <c r="H28" s="463">
        <f>((H25/H20)^(1/5))-1</f>
        <v>0.06342742539762902</v>
      </c>
      <c r="I28" s="464">
        <f>((I25/I20)^(1/5))-1</f>
        <v>0.023776436361758746</v>
      </c>
      <c r="J28" s="465">
        <f>((J25/J20)^(1/5))-1</f>
        <v>0.1307413951535661</v>
      </c>
      <c r="K28" s="466"/>
      <c r="L28" s="468"/>
      <c r="M28" s="463">
        <f>((M25/M20)^(1/5))-1</f>
        <v>0.08887466081278905</v>
      </c>
      <c r="N28" s="464">
        <f>((N25/N20)^(1/5))-1</f>
        <v>0.04667619596389705</v>
      </c>
      <c r="O28" s="465">
        <f>((O25/O20)^(1/5))-1</f>
        <v>0.10181868673902983</v>
      </c>
      <c r="R28" s="283">
        <v>1996</v>
      </c>
      <c r="S28" s="461">
        <f t="shared" si="7"/>
        <v>13323.572078</v>
      </c>
      <c r="T28" s="461">
        <f t="shared" si="8"/>
        <v>3955.8302150000004</v>
      </c>
    </row>
    <row r="29" spans="2:20" ht="12.75" customHeight="1">
      <c r="B29" s="469" t="s">
        <v>111</v>
      </c>
      <c r="C29" s="470">
        <f>(C25/C13)-1</f>
        <v>1.0589595324184349</v>
      </c>
      <c r="D29" s="471">
        <f>(D25/D13)-1</f>
        <v>0.36275785497902047</v>
      </c>
      <c r="E29" s="472">
        <f>(E25/E13)-1</f>
        <v>4.050770300975169</v>
      </c>
      <c r="F29" s="466"/>
      <c r="G29" s="467"/>
      <c r="H29" s="470">
        <f>(H25/H13)-1</f>
        <v>1.0925859295578348</v>
      </c>
      <c r="I29" s="471">
        <f>(I25/I13)-1</f>
        <v>0.36463283454164963</v>
      </c>
      <c r="J29" s="472">
        <f>(J25/J13)-1</f>
        <v>5.5148619631947415</v>
      </c>
      <c r="K29" s="466"/>
      <c r="L29" s="468"/>
      <c r="M29" s="470">
        <f>(M25/M13)-1</f>
        <v>0.6725152668900574</v>
      </c>
      <c r="N29" s="471">
        <f>(N25/N13)-1</f>
        <v>0.2938892428700399</v>
      </c>
      <c r="O29" s="472">
        <f>(O25/O13)-1</f>
        <v>0.8117242380050542</v>
      </c>
      <c r="R29" s="283">
        <v>1997</v>
      </c>
      <c r="S29" s="461">
        <f t="shared" si="7"/>
        <v>13214.529482000002</v>
      </c>
      <c r="T29" s="461">
        <f t="shared" si="8"/>
        <v>4738.322437000001</v>
      </c>
    </row>
    <row r="30" spans="2:20" ht="12.75" customHeight="1" thickBot="1">
      <c r="B30" s="473" t="s">
        <v>112</v>
      </c>
      <c r="C30" s="474">
        <f>((C25/C13)^(1/12))-1</f>
        <v>0.06203130291289072</v>
      </c>
      <c r="D30" s="828">
        <f>((D25/D13)^(1/12))-1</f>
        <v>0.02612804595180851</v>
      </c>
      <c r="E30" s="829">
        <f>((E25/E13)^(1/12))-1</f>
        <v>0.14449298438679126</v>
      </c>
      <c r="F30" s="466"/>
      <c r="G30" s="468"/>
      <c r="H30" s="827">
        <f>((H25/H13)^(1/12))-1</f>
        <v>0.06346599691600918</v>
      </c>
      <c r="I30" s="475">
        <f>((I25/I13)^(1/12))-1</f>
        <v>0.026245623511131466</v>
      </c>
      <c r="J30" s="476">
        <f>((J25/J13)^(1/12))-1</f>
        <v>0.16902940392830001</v>
      </c>
      <c r="K30" s="466"/>
      <c r="L30" s="468"/>
      <c r="M30" s="474">
        <f>((M25/M13)^(1/12))-1</f>
        <v>0.04379250540702606</v>
      </c>
      <c r="N30" s="475">
        <f>((N25/N13)^(1/12))-1</f>
        <v>0.02170321156543653</v>
      </c>
      <c r="O30" s="476">
        <f>((O25/O13)^(1/12))-1</f>
        <v>0.05077002316638635</v>
      </c>
      <c r="R30" s="283">
        <v>1998</v>
      </c>
      <c r="S30" s="461">
        <f t="shared" si="7"/>
        <v>13808.285138000003</v>
      </c>
      <c r="T30" s="461">
        <f t="shared" si="8"/>
        <v>4773.727268000001</v>
      </c>
    </row>
    <row r="31" spans="2:20" ht="12.75">
      <c r="B31" s="363"/>
      <c r="C31" s="477"/>
      <c r="K31" s="321"/>
      <c r="R31" s="283">
        <v>1999</v>
      </c>
      <c r="S31" s="461">
        <f t="shared" si="7"/>
        <v>14540.581285</v>
      </c>
      <c r="T31" s="461">
        <f t="shared" si="8"/>
        <v>4508.411532</v>
      </c>
    </row>
    <row r="32" spans="2:20" ht="12.75">
      <c r="B32" s="363"/>
      <c r="C32" s="477"/>
      <c r="K32" s="321"/>
      <c r="R32" s="283">
        <v>2000</v>
      </c>
      <c r="S32" s="461">
        <f t="shared" si="7"/>
        <v>16176.051366</v>
      </c>
      <c r="T32" s="461">
        <f t="shared" si="8"/>
        <v>3745.8002719999995</v>
      </c>
    </row>
    <row r="33" spans="2:20" ht="12.75">
      <c r="B33" s="363"/>
      <c r="C33" s="477"/>
      <c r="K33" s="321"/>
      <c r="R33" s="283">
        <v>2001</v>
      </c>
      <c r="S33" s="461">
        <f t="shared" si="7"/>
        <v>17614.760199999997</v>
      </c>
      <c r="T33" s="461">
        <f t="shared" si="8"/>
        <v>3169.738935</v>
      </c>
    </row>
    <row r="34" spans="2:20" ht="12.75">
      <c r="B34" s="366"/>
      <c r="C34" s="477"/>
      <c r="R34" s="283">
        <v>2002</v>
      </c>
      <c r="S34" s="461">
        <f t="shared" si="7"/>
        <v>18040.127915000005</v>
      </c>
      <c r="T34" s="461">
        <f t="shared" si="8"/>
        <v>3940.9688570000035</v>
      </c>
    </row>
    <row r="35" spans="2:20" ht="12.75">
      <c r="B35" s="363"/>
      <c r="R35" s="283">
        <v>2003</v>
      </c>
      <c r="S35" s="461">
        <f t="shared" si="7"/>
        <v>18533.720860999994</v>
      </c>
      <c r="T35" s="461">
        <f t="shared" si="8"/>
        <v>4388.406613000003</v>
      </c>
    </row>
    <row r="36" spans="18:20" ht="12.75">
      <c r="R36" s="283">
        <v>2004</v>
      </c>
      <c r="S36" s="461">
        <f t="shared" si="7"/>
        <v>17525.338961000005</v>
      </c>
      <c r="T36" s="461">
        <f t="shared" si="8"/>
        <v>6740.446710000001</v>
      </c>
    </row>
    <row r="37" spans="18:20" ht="12.75">
      <c r="R37" s="283">
        <v>2005</v>
      </c>
      <c r="S37" s="461">
        <f t="shared" si="7"/>
        <v>17976.993336</v>
      </c>
      <c r="T37" s="461">
        <f t="shared" si="8"/>
        <v>7531.517079000003</v>
      </c>
    </row>
    <row r="38" spans="18:20" ht="12.75">
      <c r="R38" s="283">
        <v>2006</v>
      </c>
      <c r="S38" s="461">
        <f t="shared" si="7"/>
        <v>19594.347163999995</v>
      </c>
      <c r="T38" s="461">
        <f t="shared" si="8"/>
        <v>7774.255163580001</v>
      </c>
    </row>
    <row r="39" spans="18:20" ht="12.75">
      <c r="R39" s="317">
        <v>2007</v>
      </c>
      <c r="S39" s="461">
        <f t="shared" si="7"/>
        <v>19548.782020000002</v>
      </c>
      <c r="T39" s="461">
        <f t="shared" si="8"/>
        <v>10393.038722000001</v>
      </c>
    </row>
    <row r="40" spans="18:20" ht="12.75">
      <c r="R40" s="283">
        <v>2008</v>
      </c>
      <c r="S40" s="461">
        <f t="shared" si="7"/>
        <v>19059.617748999997</v>
      </c>
      <c r="T40" s="461">
        <f t="shared" si="8"/>
        <v>13402.262134</v>
      </c>
    </row>
    <row r="41" spans="18:20" ht="12.75">
      <c r="R41" s="283">
        <v>2009</v>
      </c>
      <c r="S41" s="461">
        <f t="shared" si="7"/>
        <v>19903.776404</v>
      </c>
      <c r="T41" s="461">
        <f t="shared" si="8"/>
        <v>13039.733016999999</v>
      </c>
    </row>
    <row r="42" spans="18:20" ht="12.75">
      <c r="R42" s="283">
        <v>2010</v>
      </c>
      <c r="S42" s="461">
        <f t="shared" si="7"/>
        <v>20052.1292802</v>
      </c>
      <c r="T42" s="461">
        <f t="shared" si="8"/>
        <v>15854.652261</v>
      </c>
    </row>
    <row r="43" spans="18:25" ht="12.75">
      <c r="R43" s="283">
        <v>2011</v>
      </c>
      <c r="S43" s="461">
        <f t="shared" si="7"/>
        <v>21557.32671678524</v>
      </c>
      <c r="T43" s="461">
        <f t="shared" si="8"/>
        <v>17247.908127223665</v>
      </c>
      <c r="V43" s="898" t="s">
        <v>72</v>
      </c>
      <c r="W43" s="899"/>
      <c r="X43" s="899"/>
      <c r="Y43" s="900"/>
    </row>
    <row r="44" spans="18:25" ht="12.75">
      <c r="R44" s="283">
        <v>2012</v>
      </c>
      <c r="S44" s="461">
        <f>D25</f>
        <v>22044.041061560612</v>
      </c>
      <c r="T44" s="461">
        <f>E25</f>
        <v>18919.17676720231</v>
      </c>
      <c r="V44" s="377"/>
      <c r="W44" s="376"/>
      <c r="X44" s="376"/>
      <c r="Y44" s="376"/>
    </row>
    <row r="45" spans="22:25" ht="12.75">
      <c r="V45" s="374"/>
      <c r="W45" s="373">
        <v>1990</v>
      </c>
      <c r="X45" s="373">
        <v>1998</v>
      </c>
      <c r="Y45" s="373" t="s">
        <v>70</v>
      </c>
    </row>
    <row r="46" spans="19:25" ht="12.75">
      <c r="S46" s="461"/>
      <c r="T46" s="461"/>
      <c r="V46" s="353" t="s">
        <v>3</v>
      </c>
      <c r="W46" s="364">
        <v>13162.3</v>
      </c>
      <c r="X46" s="364">
        <v>18582.5</v>
      </c>
      <c r="Y46" s="365">
        <f>(X46/W46)-1</f>
        <v>0.41179733025383114</v>
      </c>
    </row>
    <row r="47" spans="19:25" ht="12.75">
      <c r="S47" s="461"/>
      <c r="T47" s="461"/>
      <c r="V47" s="367" t="s">
        <v>4</v>
      </c>
      <c r="W47" s="368">
        <v>10170</v>
      </c>
      <c r="X47" s="368">
        <v>13809.2</v>
      </c>
      <c r="Y47" s="369">
        <f>(X47/W47)-1</f>
        <v>0.3578367748279254</v>
      </c>
    </row>
    <row r="48" spans="22:25" ht="12.75">
      <c r="V48" s="370" t="s">
        <v>5</v>
      </c>
      <c r="W48" s="371">
        <v>2992.3</v>
      </c>
      <c r="X48" s="371">
        <v>4772.8</v>
      </c>
      <c r="Y48" s="372">
        <f>(X48/W48)-1</f>
        <v>0.5950272365738729</v>
      </c>
    </row>
    <row r="49" ht="12.75">
      <c r="S49" s="283" t="s">
        <v>125</v>
      </c>
    </row>
    <row r="50" spans="19:21" ht="12.75">
      <c r="S50" s="283" t="s">
        <v>4</v>
      </c>
      <c r="T50" s="283" t="s">
        <v>5</v>
      </c>
      <c r="U50" s="283" t="s">
        <v>68</v>
      </c>
    </row>
    <row r="51" spans="18:21" ht="12.75">
      <c r="R51" s="283">
        <v>1995</v>
      </c>
      <c r="S51" s="461">
        <f aca="true" t="shared" si="9" ref="S51:S67">I8</f>
        <v>11540.590328999999</v>
      </c>
      <c r="T51" s="461">
        <f aca="true" t="shared" si="10" ref="T51:T67">J8</f>
        <v>1565.722768</v>
      </c>
      <c r="U51" s="804" t="s">
        <v>113</v>
      </c>
    </row>
    <row r="52" spans="18:21" ht="12.75">
      <c r="R52" s="283">
        <v>1996</v>
      </c>
      <c r="S52" s="461">
        <f t="shared" si="9"/>
        <v>11847.925377</v>
      </c>
      <c r="T52" s="461">
        <f t="shared" si="10"/>
        <v>1459.2416440000002</v>
      </c>
      <c r="U52" s="804" t="s">
        <v>113</v>
      </c>
    </row>
    <row r="53" spans="18:21" ht="12.75">
      <c r="R53" s="283">
        <v>1997</v>
      </c>
      <c r="S53" s="461">
        <f t="shared" si="9"/>
        <v>12264.791790000001</v>
      </c>
      <c r="T53" s="461">
        <f t="shared" si="10"/>
        <v>3083.209430000001</v>
      </c>
      <c r="U53" s="804" t="s">
        <v>113</v>
      </c>
    </row>
    <row r="54" spans="18:21" ht="12.75">
      <c r="R54" s="283">
        <v>1998</v>
      </c>
      <c r="S54" s="461">
        <f t="shared" si="9"/>
        <v>13367.193777000002</v>
      </c>
      <c r="T54" s="461">
        <f t="shared" si="10"/>
        <v>3448.21663</v>
      </c>
      <c r="U54" s="804" t="s">
        <v>113</v>
      </c>
    </row>
    <row r="55" spans="18:21" ht="12.75">
      <c r="R55" s="283">
        <v>1999</v>
      </c>
      <c r="S55" s="461">
        <f t="shared" si="9"/>
        <v>14110.592026</v>
      </c>
      <c r="T55" s="461">
        <f t="shared" si="10"/>
        <v>3255.005272</v>
      </c>
      <c r="U55" s="804" t="s">
        <v>113</v>
      </c>
    </row>
    <row r="56" spans="18:21" ht="12.75">
      <c r="R56" s="283">
        <v>2000</v>
      </c>
      <c r="S56" s="461">
        <f t="shared" si="9"/>
        <v>15747.323264999999</v>
      </c>
      <c r="T56" s="461">
        <f t="shared" si="10"/>
        <v>2579.7287539999998</v>
      </c>
      <c r="U56" s="804" t="s">
        <v>113</v>
      </c>
    </row>
    <row r="57" spans="18:21" ht="12.75">
      <c r="R57" s="283">
        <v>2001</v>
      </c>
      <c r="S57" s="461">
        <f t="shared" si="9"/>
        <v>17188.330774</v>
      </c>
      <c r="T57" s="461">
        <f t="shared" si="10"/>
        <v>2024.9494680000003</v>
      </c>
      <c r="U57" s="804" t="s">
        <v>113</v>
      </c>
    </row>
    <row r="58" spans="18:21" ht="12.75">
      <c r="R58" s="283">
        <v>2002</v>
      </c>
      <c r="S58" s="461">
        <f t="shared" si="9"/>
        <v>17638.158238000004</v>
      </c>
      <c r="T58" s="461">
        <f t="shared" si="10"/>
        <v>2780.1240350000003</v>
      </c>
      <c r="U58" s="804" t="s">
        <v>113</v>
      </c>
    </row>
    <row r="59" spans="18:21" ht="12.75">
      <c r="R59" s="283">
        <v>2003</v>
      </c>
      <c r="S59" s="461">
        <f t="shared" si="9"/>
        <v>18118.333137999995</v>
      </c>
      <c r="T59" s="461">
        <f t="shared" si="10"/>
        <v>3241.9033919999997</v>
      </c>
      <c r="U59" s="804" t="s">
        <v>113</v>
      </c>
    </row>
    <row r="60" spans="18:21" ht="12.75">
      <c r="R60" s="283">
        <v>2004</v>
      </c>
      <c r="S60" s="461">
        <f t="shared" si="9"/>
        <v>17100.664633000004</v>
      </c>
      <c r="T60" s="461">
        <f t="shared" si="10"/>
        <v>5518.047758000001</v>
      </c>
      <c r="U60" s="804" t="s">
        <v>113</v>
      </c>
    </row>
    <row r="61" spans="18:21" ht="12.75">
      <c r="R61" s="283">
        <v>2005</v>
      </c>
      <c r="S61" s="461">
        <f t="shared" si="9"/>
        <v>17567.10537779275</v>
      </c>
      <c r="T61" s="461">
        <f t="shared" si="10"/>
        <v>6242.543167</v>
      </c>
      <c r="U61" s="804" t="s">
        <v>113</v>
      </c>
    </row>
    <row r="62" spans="18:21" ht="12.75">
      <c r="R62" s="283">
        <v>2006</v>
      </c>
      <c r="S62" s="461">
        <f t="shared" si="9"/>
        <v>19160.75164295858</v>
      </c>
      <c r="T62" s="461">
        <f t="shared" si="10"/>
        <v>6451.785747000001</v>
      </c>
      <c r="U62" s="804" t="s">
        <v>113</v>
      </c>
    </row>
    <row r="63" spans="18:21" ht="12.75">
      <c r="R63" s="317">
        <v>2007</v>
      </c>
      <c r="S63" s="461">
        <f t="shared" si="9"/>
        <v>19107.19396634</v>
      </c>
      <c r="T63" s="461">
        <f t="shared" si="10"/>
        <v>9092.070724000001</v>
      </c>
      <c r="U63" s="804" t="s">
        <v>113</v>
      </c>
    </row>
    <row r="64" spans="18:21" ht="12.75">
      <c r="R64" s="283">
        <v>2008</v>
      </c>
      <c r="S64" s="461">
        <f t="shared" si="9"/>
        <v>18607.792106999997</v>
      </c>
      <c r="T64" s="461">
        <f t="shared" si="10"/>
        <v>11965.692749000002</v>
      </c>
      <c r="U64" s="804" t="s">
        <v>113</v>
      </c>
    </row>
    <row r="65" spans="18:21" ht="12.75">
      <c r="R65" s="283">
        <v>2009</v>
      </c>
      <c r="S65" s="461">
        <f t="shared" si="9"/>
        <v>19419.221612</v>
      </c>
      <c r="T65" s="461">
        <f t="shared" si="10"/>
        <v>11501.454770999999</v>
      </c>
      <c r="U65" s="804" t="s">
        <v>113</v>
      </c>
    </row>
    <row r="66" spans="18:21" ht="12.75">
      <c r="R66" s="283">
        <v>2010</v>
      </c>
      <c r="S66" s="461">
        <f t="shared" si="9"/>
        <v>19567.4046092</v>
      </c>
      <c r="T66" s="461">
        <f t="shared" si="10"/>
        <v>13977.184797999998</v>
      </c>
      <c r="U66" s="804" t="s">
        <v>113</v>
      </c>
    </row>
    <row r="67" spans="18:21" ht="12.75">
      <c r="R67" s="283">
        <v>2011</v>
      </c>
      <c r="S67" s="461">
        <f t="shared" si="9"/>
        <v>21027.41840423524</v>
      </c>
      <c r="T67" s="461">
        <f t="shared" si="10"/>
        <v>15219.887485999994</v>
      </c>
      <c r="U67" s="804" t="s">
        <v>113</v>
      </c>
    </row>
    <row r="68" spans="18:21" ht="12.75">
      <c r="R68" s="283">
        <v>2012</v>
      </c>
      <c r="S68" s="461">
        <f>I25</f>
        <v>21489.314383560613</v>
      </c>
      <c r="T68" s="461">
        <f>J25</f>
        <v>16806.576734794362</v>
      </c>
      <c r="U68" s="547">
        <f>F25</f>
        <v>55.583366799564</v>
      </c>
    </row>
    <row r="69" spans="19:20" ht="12.75">
      <c r="S69" s="461"/>
      <c r="T69" s="461"/>
    </row>
    <row r="72" ht="12.75">
      <c r="S72" s="283" t="s">
        <v>126</v>
      </c>
    </row>
    <row r="73" spans="19:20" ht="12.75">
      <c r="S73" s="283" t="s">
        <v>4</v>
      </c>
      <c r="T73" s="283" t="s">
        <v>5</v>
      </c>
    </row>
    <row r="74" spans="18:20" ht="12.75">
      <c r="R74" s="283">
        <v>1995</v>
      </c>
      <c r="S74" s="461">
        <f aca="true" t="shared" si="11" ref="S74:S90">N8</f>
        <v>1396.9631319999999</v>
      </c>
      <c r="T74" s="461">
        <f aca="true" t="shared" si="12" ref="T74:T90">O8</f>
        <v>2376.838372</v>
      </c>
    </row>
    <row r="75" spans="18:20" ht="12.75">
      <c r="R75" s="283">
        <v>1996</v>
      </c>
      <c r="S75" s="461">
        <f t="shared" si="11"/>
        <v>1475.6467010000001</v>
      </c>
      <c r="T75" s="461">
        <f t="shared" si="12"/>
        <v>2496.5885710000002</v>
      </c>
    </row>
    <row r="76" spans="18:20" ht="12.75">
      <c r="R76" s="283">
        <v>1997</v>
      </c>
      <c r="S76" s="461">
        <f t="shared" si="11"/>
        <v>949.7376919999999</v>
      </c>
      <c r="T76" s="461">
        <f t="shared" si="12"/>
        <v>1655.113007</v>
      </c>
    </row>
    <row r="77" spans="18:20" ht="12.75">
      <c r="R77" s="283">
        <v>1998</v>
      </c>
      <c r="S77" s="461">
        <f t="shared" si="11"/>
        <v>441.091361</v>
      </c>
      <c r="T77" s="461">
        <f t="shared" si="12"/>
        <v>1325.5106380000002</v>
      </c>
    </row>
    <row r="78" spans="18:20" ht="12.75">
      <c r="R78" s="283">
        <v>1999</v>
      </c>
      <c r="S78" s="461">
        <f t="shared" si="11"/>
        <v>429.98925900000006</v>
      </c>
      <c r="T78" s="461">
        <f t="shared" si="12"/>
        <v>1253.40626</v>
      </c>
    </row>
    <row r="79" spans="18:20" ht="12.75">
      <c r="R79" s="283">
        <v>2000</v>
      </c>
      <c r="S79" s="461">
        <f t="shared" si="11"/>
        <v>428.728101</v>
      </c>
      <c r="T79" s="461">
        <f t="shared" si="12"/>
        <v>1166.0715179999995</v>
      </c>
    </row>
    <row r="80" spans="18:20" ht="12.75">
      <c r="R80" s="283">
        <v>2001</v>
      </c>
      <c r="S80" s="461">
        <f t="shared" si="11"/>
        <v>426.42942600000003</v>
      </c>
      <c r="T80" s="461">
        <f t="shared" si="12"/>
        <v>1144.7894669999996</v>
      </c>
    </row>
    <row r="81" spans="18:20" ht="12.75">
      <c r="R81" s="283">
        <v>2002</v>
      </c>
      <c r="S81" s="461">
        <f t="shared" si="11"/>
        <v>401.9696770000001</v>
      </c>
      <c r="T81" s="461">
        <f t="shared" si="12"/>
        <v>1160.8448220000034</v>
      </c>
    </row>
    <row r="82" spans="18:20" ht="12.75">
      <c r="R82" s="283">
        <v>2003</v>
      </c>
      <c r="S82" s="461">
        <f t="shared" si="11"/>
        <v>415.38772300000005</v>
      </c>
      <c r="T82" s="461">
        <f t="shared" si="12"/>
        <v>1146.5032210000034</v>
      </c>
    </row>
    <row r="83" spans="18:20" ht="12.75">
      <c r="R83" s="283">
        <v>2004</v>
      </c>
      <c r="S83" s="461">
        <f t="shared" si="11"/>
        <v>424.674328</v>
      </c>
      <c r="T83" s="461">
        <f t="shared" si="12"/>
        <v>1222.3989520000002</v>
      </c>
    </row>
    <row r="84" spans="18:20" ht="12.75">
      <c r="R84" s="283">
        <v>2005</v>
      </c>
      <c r="S84" s="461">
        <f t="shared" si="11"/>
        <v>409.88795820724977</v>
      </c>
      <c r="T84" s="461">
        <f t="shared" si="12"/>
        <v>1288.9739120000033</v>
      </c>
    </row>
    <row r="85" spans="18:20" ht="12.75">
      <c r="R85" s="283">
        <v>2006</v>
      </c>
      <c r="S85" s="461">
        <f t="shared" si="11"/>
        <v>433.59552104141386</v>
      </c>
      <c r="T85" s="461">
        <f t="shared" si="12"/>
        <v>1322.4694165800001</v>
      </c>
    </row>
    <row r="86" spans="18:20" ht="12.75">
      <c r="R86" s="317">
        <v>2007</v>
      </c>
      <c r="S86" s="461">
        <f t="shared" si="11"/>
        <v>441.58805366</v>
      </c>
      <c r="T86" s="461">
        <f t="shared" si="12"/>
        <v>1300.9679980000003</v>
      </c>
    </row>
    <row r="87" spans="18:20" ht="12.75">
      <c r="R87" s="283">
        <v>2008</v>
      </c>
      <c r="S87" s="461">
        <f t="shared" si="11"/>
        <v>451.825642</v>
      </c>
      <c r="T87" s="461">
        <f t="shared" si="12"/>
        <v>1436.5693849999998</v>
      </c>
    </row>
    <row r="88" spans="18:20" ht="12.75">
      <c r="R88" s="283">
        <v>2009</v>
      </c>
      <c r="S88" s="461">
        <f t="shared" si="11"/>
        <v>484.5547920000001</v>
      </c>
      <c r="T88" s="461">
        <f t="shared" si="12"/>
        <v>1538.278246</v>
      </c>
    </row>
    <row r="89" spans="18:20" ht="12.75">
      <c r="R89" s="283">
        <v>2010</v>
      </c>
      <c r="S89" s="461">
        <f t="shared" si="11"/>
        <v>484.72467099999994</v>
      </c>
      <c r="T89" s="461">
        <f t="shared" si="12"/>
        <v>1877.467463</v>
      </c>
    </row>
    <row r="90" spans="18:20" ht="12.75">
      <c r="R90" s="283">
        <v>2011</v>
      </c>
      <c r="S90" s="461">
        <f t="shared" si="11"/>
        <v>529.9083125500001</v>
      </c>
      <c r="T90" s="461">
        <f t="shared" si="12"/>
        <v>2028.0206412236719</v>
      </c>
    </row>
    <row r="91" spans="18:20" ht="12.75">
      <c r="R91" s="283">
        <v>2012</v>
      </c>
      <c r="S91" s="461">
        <f>N25</f>
        <v>554.726678</v>
      </c>
      <c r="T91" s="461">
        <f>O25</f>
        <v>2112.600032407946</v>
      </c>
    </row>
    <row r="92" spans="19:20" ht="12.75">
      <c r="S92" s="461"/>
      <c r="T92" s="461"/>
    </row>
  </sheetData>
  <sheetProtection/>
  <mergeCells count="1">
    <mergeCell ref="V43:Y43"/>
  </mergeCells>
  <printOptions horizontalCentered="1" verticalCentered="1"/>
  <pageMargins left="0.97" right="0.5905511811023623" top="1.29" bottom="1.46" header="0" footer="0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8"/>
  <sheetViews>
    <sheetView view="pageBreakPreview" zoomScaleNormal="75" zoomScaleSheetLayoutView="100" zoomScalePageLayoutView="0" workbookViewId="0" topLeftCell="A1">
      <selection activeCell="M64" sqref="M64"/>
    </sheetView>
  </sheetViews>
  <sheetFormatPr defaultColWidth="11.421875" defaultRowHeight="12.75"/>
  <cols>
    <col min="1" max="1" width="4.7109375" style="0" customWidth="1"/>
    <col min="2" max="2" width="23.421875" style="0" customWidth="1"/>
    <col min="3" max="4" width="15.00390625" style="0" customWidth="1"/>
    <col min="5" max="5" width="13.28125" style="0" customWidth="1"/>
    <col min="6" max="6" width="12.7109375" style="0" customWidth="1"/>
    <col min="7" max="7" width="14.00390625" style="0" customWidth="1"/>
    <col min="8" max="8" width="11.00390625" style="0" customWidth="1"/>
    <col min="10" max="10" width="13.7109375" style="0" customWidth="1"/>
    <col min="11" max="11" width="11.57421875" style="0" bestFit="1" customWidth="1"/>
    <col min="12" max="12" width="12.7109375" style="0" bestFit="1" customWidth="1"/>
    <col min="13" max="13" width="12.7109375" style="0" customWidth="1"/>
    <col min="14" max="17" width="11.57421875" style="0" bestFit="1" customWidth="1"/>
  </cols>
  <sheetData>
    <row r="6" ht="20.25">
      <c r="B6" s="10"/>
    </row>
    <row r="8" spans="1:8" ht="18">
      <c r="A8" s="9" t="s">
        <v>56</v>
      </c>
      <c r="C8" s="1"/>
      <c r="D8" s="1"/>
      <c r="E8" s="1"/>
      <c r="F8" s="1"/>
      <c r="G8" s="1"/>
      <c r="H8" s="1"/>
    </row>
    <row r="10" ht="12.75">
      <c r="B10" s="103"/>
    </row>
    <row r="12" spans="2:8" ht="15">
      <c r="B12" s="901" t="s">
        <v>18</v>
      </c>
      <c r="C12" s="903" t="s">
        <v>50</v>
      </c>
      <c r="D12" s="904"/>
      <c r="E12" s="904"/>
      <c r="F12" s="904"/>
      <c r="G12" s="904"/>
      <c r="H12" s="904"/>
    </row>
    <row r="13" spans="2:17" ht="15">
      <c r="B13" s="902"/>
      <c r="C13" s="903" t="s">
        <v>51</v>
      </c>
      <c r="D13" s="904"/>
      <c r="E13" s="904"/>
      <c r="F13" s="904"/>
      <c r="G13" s="904"/>
      <c r="H13" s="904"/>
      <c r="L13" s="905" t="s">
        <v>51</v>
      </c>
      <c r="M13" s="906"/>
      <c r="N13" s="906"/>
      <c r="O13" s="906"/>
      <c r="P13" s="906"/>
      <c r="Q13" s="907"/>
    </row>
    <row r="14" spans="2:17" ht="15.75" thickBot="1">
      <c r="B14" s="751"/>
      <c r="C14" s="752" t="s">
        <v>0</v>
      </c>
      <c r="D14" s="753">
        <v>500</v>
      </c>
      <c r="E14" s="754">
        <v>220</v>
      </c>
      <c r="F14" s="755">
        <v>138</v>
      </c>
      <c r="G14" s="755" t="s">
        <v>52</v>
      </c>
      <c r="H14" s="755" t="s">
        <v>53</v>
      </c>
      <c r="L14" s="168" t="s">
        <v>0</v>
      </c>
      <c r="M14" s="167">
        <v>500</v>
      </c>
      <c r="N14" s="167">
        <v>220</v>
      </c>
      <c r="O14" s="169">
        <v>138</v>
      </c>
      <c r="P14" s="170" t="s">
        <v>52</v>
      </c>
      <c r="Q14" s="167" t="s">
        <v>53</v>
      </c>
    </row>
    <row r="15" spans="2:17" ht="15">
      <c r="B15" s="756">
        <v>1995</v>
      </c>
      <c r="C15" s="757">
        <f>SUM(E15:H15)</f>
        <v>9131.536</v>
      </c>
      <c r="D15" s="758"/>
      <c r="E15" s="759">
        <v>3129.692</v>
      </c>
      <c r="F15" s="760">
        <v>1872.9719999999998</v>
      </c>
      <c r="G15" s="760">
        <v>3030.632</v>
      </c>
      <c r="H15" s="761">
        <v>1098.24</v>
      </c>
      <c r="I15" s="7"/>
      <c r="K15">
        <f aca="true" t="shared" si="0" ref="K15:K31">+B15</f>
        <v>1995</v>
      </c>
      <c r="L15" s="105">
        <f>SUM(N15:Q15)</f>
        <v>9131.536</v>
      </c>
      <c r="M15" s="495"/>
      <c r="N15" s="106">
        <f>+E15</f>
        <v>3129.692</v>
      </c>
      <c r="O15" s="106">
        <f>+F15</f>
        <v>1872.9719999999998</v>
      </c>
      <c r="P15" s="106">
        <f>+G15</f>
        <v>3030.632</v>
      </c>
      <c r="Q15" s="106">
        <f>+H15</f>
        <v>1098.24</v>
      </c>
    </row>
    <row r="16" spans="2:17" ht="15">
      <c r="B16" s="762">
        <v>1996</v>
      </c>
      <c r="C16" s="763">
        <f aca="true" t="shared" si="1" ref="C16:C24">SUM(E16:H16)</f>
        <v>9410.073</v>
      </c>
      <c r="D16" s="764"/>
      <c r="E16" s="765">
        <v>3129.692</v>
      </c>
      <c r="F16" s="766">
        <v>1872.9719999999998</v>
      </c>
      <c r="G16" s="766">
        <v>3277.7189999999996</v>
      </c>
      <c r="H16" s="767">
        <v>1129.69</v>
      </c>
      <c r="I16" s="7"/>
      <c r="K16">
        <f t="shared" si="0"/>
        <v>1996</v>
      </c>
      <c r="L16" s="107">
        <f aca="true" t="shared" si="2" ref="L16:L27">SUM(N16:Q16)</f>
        <v>9410.073</v>
      </c>
      <c r="M16" s="492"/>
      <c r="N16" s="106">
        <f aca="true" t="shared" si="3" ref="N16:Q27">+E16</f>
        <v>3129.692</v>
      </c>
      <c r="O16" s="106">
        <f t="shared" si="3"/>
        <v>1872.9719999999998</v>
      </c>
      <c r="P16" s="106">
        <f t="shared" si="3"/>
        <v>3277.7189999999996</v>
      </c>
      <c r="Q16" s="106">
        <f t="shared" si="3"/>
        <v>1129.69</v>
      </c>
    </row>
    <row r="17" spans="2:17" ht="15">
      <c r="B17" s="762">
        <v>1997</v>
      </c>
      <c r="C17" s="763">
        <f t="shared" si="1"/>
        <v>10824.466</v>
      </c>
      <c r="D17" s="764"/>
      <c r="E17" s="765">
        <v>3625.496</v>
      </c>
      <c r="F17" s="766">
        <v>2240.8330000000005</v>
      </c>
      <c r="G17" s="766">
        <v>3629.138999999999</v>
      </c>
      <c r="H17" s="767">
        <v>1328.998</v>
      </c>
      <c r="I17" s="7"/>
      <c r="K17">
        <f t="shared" si="0"/>
        <v>1997</v>
      </c>
      <c r="L17" s="107">
        <f t="shared" si="2"/>
        <v>10824.466</v>
      </c>
      <c r="M17" s="492"/>
      <c r="N17" s="106">
        <f t="shared" si="3"/>
        <v>3625.496</v>
      </c>
      <c r="O17" s="106">
        <f t="shared" si="3"/>
        <v>2240.8330000000005</v>
      </c>
      <c r="P17" s="106">
        <f t="shared" si="3"/>
        <v>3629.138999999999</v>
      </c>
      <c r="Q17" s="106">
        <f t="shared" si="3"/>
        <v>1328.998</v>
      </c>
    </row>
    <row r="18" spans="2:17" ht="15">
      <c r="B18" s="762">
        <v>1998</v>
      </c>
      <c r="C18" s="763">
        <f t="shared" si="1"/>
        <v>11328.207999999999</v>
      </c>
      <c r="D18" s="764"/>
      <c r="E18" s="765">
        <v>3625.496</v>
      </c>
      <c r="F18" s="766">
        <v>2410.533</v>
      </c>
      <c r="G18" s="766">
        <v>3894.522999999999</v>
      </c>
      <c r="H18" s="767">
        <v>1397.656</v>
      </c>
      <c r="I18" s="7"/>
      <c r="K18">
        <f t="shared" si="0"/>
        <v>1998</v>
      </c>
      <c r="L18" s="107">
        <f t="shared" si="2"/>
        <v>11328.207999999999</v>
      </c>
      <c r="M18" s="492"/>
      <c r="N18" s="106">
        <f t="shared" si="3"/>
        <v>3625.496</v>
      </c>
      <c r="O18" s="106">
        <f t="shared" si="3"/>
        <v>2410.533</v>
      </c>
      <c r="P18" s="106">
        <f t="shared" si="3"/>
        <v>3894.522999999999</v>
      </c>
      <c r="Q18" s="106">
        <f t="shared" si="3"/>
        <v>1397.656</v>
      </c>
    </row>
    <row r="19" spans="2:17" ht="15">
      <c r="B19" s="762">
        <v>1999</v>
      </c>
      <c r="C19" s="763">
        <f t="shared" si="1"/>
        <v>12527.669999999998</v>
      </c>
      <c r="D19" s="764"/>
      <c r="E19" s="765">
        <v>3996.306</v>
      </c>
      <c r="F19" s="766">
        <v>2920.413</v>
      </c>
      <c r="G19" s="766">
        <v>4189.570999999999</v>
      </c>
      <c r="H19" s="767">
        <v>1421.38</v>
      </c>
      <c r="I19" s="7"/>
      <c r="K19">
        <f t="shared" si="0"/>
        <v>1999</v>
      </c>
      <c r="L19" s="107">
        <f t="shared" si="2"/>
        <v>12527.669999999998</v>
      </c>
      <c r="M19" s="492"/>
      <c r="N19" s="106">
        <f t="shared" si="3"/>
        <v>3996.306</v>
      </c>
      <c r="O19" s="106">
        <f t="shared" si="3"/>
        <v>2920.413</v>
      </c>
      <c r="P19" s="106">
        <f t="shared" si="3"/>
        <v>4189.570999999999</v>
      </c>
      <c r="Q19" s="106">
        <f t="shared" si="3"/>
        <v>1421.38</v>
      </c>
    </row>
    <row r="20" spans="2:17" ht="15">
      <c r="B20" s="762">
        <v>2000</v>
      </c>
      <c r="C20" s="763">
        <f t="shared" si="1"/>
        <v>13656.000090000001</v>
      </c>
      <c r="D20" s="764"/>
      <c r="E20" s="765">
        <v>4860.06609</v>
      </c>
      <c r="F20" s="766">
        <v>3135.153</v>
      </c>
      <c r="G20" s="766">
        <v>4213.37</v>
      </c>
      <c r="H20" s="767">
        <v>1447.4109999999998</v>
      </c>
      <c r="I20" s="7"/>
      <c r="K20">
        <f t="shared" si="0"/>
        <v>2000</v>
      </c>
      <c r="L20" s="107">
        <f t="shared" si="2"/>
        <v>13656.000090000001</v>
      </c>
      <c r="M20" s="492"/>
      <c r="N20" s="106">
        <f t="shared" si="3"/>
        <v>4860.06609</v>
      </c>
      <c r="O20" s="106">
        <f t="shared" si="3"/>
        <v>3135.153</v>
      </c>
      <c r="P20" s="106">
        <f t="shared" si="3"/>
        <v>4213.37</v>
      </c>
      <c r="Q20" s="106">
        <f t="shared" si="3"/>
        <v>1447.4109999999998</v>
      </c>
    </row>
    <row r="21" spans="2:17" ht="15">
      <c r="B21" s="762">
        <v>2001</v>
      </c>
      <c r="C21" s="763">
        <f t="shared" si="1"/>
        <v>14260.63609</v>
      </c>
      <c r="D21" s="764"/>
      <c r="E21" s="765">
        <v>5318.10309</v>
      </c>
      <c r="F21" s="766">
        <v>3183.004</v>
      </c>
      <c r="G21" s="766">
        <v>4309.589</v>
      </c>
      <c r="H21" s="767">
        <v>1449.94</v>
      </c>
      <c r="I21" s="7"/>
      <c r="K21">
        <f t="shared" si="0"/>
        <v>2001</v>
      </c>
      <c r="L21" s="107">
        <f t="shared" si="2"/>
        <v>14260.63609</v>
      </c>
      <c r="M21" s="492"/>
      <c r="N21" s="106">
        <f t="shared" si="3"/>
        <v>5318.10309</v>
      </c>
      <c r="O21" s="106">
        <f t="shared" si="3"/>
        <v>3183.004</v>
      </c>
      <c r="P21" s="106">
        <f t="shared" si="3"/>
        <v>4309.589</v>
      </c>
      <c r="Q21" s="106">
        <f t="shared" si="3"/>
        <v>1449.94</v>
      </c>
    </row>
    <row r="22" spans="2:17" ht="15">
      <c r="B22" s="762">
        <v>2002</v>
      </c>
      <c r="C22" s="763">
        <f t="shared" si="1"/>
        <v>14678.77509</v>
      </c>
      <c r="D22" s="764"/>
      <c r="E22" s="765">
        <v>5558.67709</v>
      </c>
      <c r="F22" s="766">
        <v>3331.1639999999998</v>
      </c>
      <c r="G22" s="766">
        <v>4334.589</v>
      </c>
      <c r="H22" s="767">
        <v>1454.345</v>
      </c>
      <c r="I22" s="7"/>
      <c r="K22">
        <f t="shared" si="0"/>
        <v>2002</v>
      </c>
      <c r="L22" s="107">
        <f t="shared" si="2"/>
        <v>14678.77509</v>
      </c>
      <c r="M22" s="492"/>
      <c r="N22" s="106">
        <f t="shared" si="3"/>
        <v>5558.67709</v>
      </c>
      <c r="O22" s="106">
        <f t="shared" si="3"/>
        <v>3331.1639999999998</v>
      </c>
      <c r="P22" s="106">
        <f t="shared" si="3"/>
        <v>4334.589</v>
      </c>
      <c r="Q22" s="106">
        <f t="shared" si="3"/>
        <v>1454.345</v>
      </c>
    </row>
    <row r="23" spans="2:17" ht="15">
      <c r="B23" s="762">
        <v>2003</v>
      </c>
      <c r="C23" s="763">
        <f>SUM(E23:H23)</f>
        <v>14692.997089999999</v>
      </c>
      <c r="D23" s="764"/>
      <c r="E23" s="765">
        <v>5558.67709</v>
      </c>
      <c r="F23" s="766">
        <v>3338.1639999999998</v>
      </c>
      <c r="G23" s="766">
        <v>4335.311</v>
      </c>
      <c r="H23" s="767">
        <v>1460.845</v>
      </c>
      <c r="I23" s="7"/>
      <c r="K23">
        <f t="shared" si="0"/>
        <v>2003</v>
      </c>
      <c r="L23" s="107">
        <f t="shared" si="2"/>
        <v>14692.997089999999</v>
      </c>
      <c r="M23" s="492"/>
      <c r="N23" s="106">
        <f t="shared" si="3"/>
        <v>5558.67709</v>
      </c>
      <c r="O23" s="106">
        <f t="shared" si="3"/>
        <v>3338.1639999999998</v>
      </c>
      <c r="P23" s="106">
        <f t="shared" si="3"/>
        <v>4335.311</v>
      </c>
      <c r="Q23" s="106">
        <f t="shared" si="3"/>
        <v>1460.845</v>
      </c>
    </row>
    <row r="24" spans="2:17" ht="15">
      <c r="B24" s="762">
        <v>2004</v>
      </c>
      <c r="C24" s="763">
        <f t="shared" si="1"/>
        <v>14856.66409</v>
      </c>
      <c r="D24" s="764"/>
      <c r="E24" s="765">
        <v>5613.97709</v>
      </c>
      <c r="F24" s="766">
        <v>3337.61</v>
      </c>
      <c r="G24" s="766">
        <v>4335.311</v>
      </c>
      <c r="H24" s="767">
        <v>1569.7659999999996</v>
      </c>
      <c r="I24" s="7"/>
      <c r="K24">
        <f t="shared" si="0"/>
        <v>2004</v>
      </c>
      <c r="L24" s="107">
        <f t="shared" si="2"/>
        <v>14856.66409</v>
      </c>
      <c r="M24" s="492"/>
      <c r="N24" s="106">
        <f t="shared" si="3"/>
        <v>5613.97709</v>
      </c>
      <c r="O24" s="106">
        <f t="shared" si="3"/>
        <v>3337.61</v>
      </c>
      <c r="P24" s="106">
        <f t="shared" si="3"/>
        <v>4335.311</v>
      </c>
      <c r="Q24" s="106">
        <f t="shared" si="3"/>
        <v>1569.7659999999996</v>
      </c>
    </row>
    <row r="25" spans="2:17" ht="15">
      <c r="B25" s="762">
        <v>2005</v>
      </c>
      <c r="C25" s="763">
        <f aca="true" t="shared" si="4" ref="C25:C30">SUM(E25:H25)</f>
        <v>15271.97709</v>
      </c>
      <c r="D25" s="764"/>
      <c r="E25" s="765">
        <v>5613.97709</v>
      </c>
      <c r="F25" s="766">
        <v>3435</v>
      </c>
      <c r="G25" s="766">
        <v>4678</v>
      </c>
      <c r="H25" s="767">
        <v>1545</v>
      </c>
      <c r="I25" s="7"/>
      <c r="K25">
        <f t="shared" si="0"/>
        <v>2005</v>
      </c>
      <c r="L25" s="107">
        <f t="shared" si="2"/>
        <v>15271.97709</v>
      </c>
      <c r="M25" s="492"/>
      <c r="N25" s="106">
        <f t="shared" si="3"/>
        <v>5613.97709</v>
      </c>
      <c r="O25" s="106">
        <f t="shared" si="3"/>
        <v>3435</v>
      </c>
      <c r="P25" s="106">
        <f t="shared" si="3"/>
        <v>4678</v>
      </c>
      <c r="Q25" s="106">
        <f t="shared" si="3"/>
        <v>1545</v>
      </c>
    </row>
    <row r="26" spans="2:17" ht="15">
      <c r="B26" s="762">
        <v>2006</v>
      </c>
      <c r="C26" s="763">
        <f t="shared" si="4"/>
        <v>15688.071089999998</v>
      </c>
      <c r="D26" s="764"/>
      <c r="E26" s="768">
        <v>5664.087089999999</v>
      </c>
      <c r="F26" s="766">
        <v>3636.3779999999997</v>
      </c>
      <c r="G26" s="766">
        <v>4841.857999999999</v>
      </c>
      <c r="H26" s="767">
        <v>1545.7479999999998</v>
      </c>
      <c r="I26" s="7"/>
      <c r="K26">
        <f t="shared" si="0"/>
        <v>2006</v>
      </c>
      <c r="L26" s="107">
        <f t="shared" si="2"/>
        <v>15688.071089999998</v>
      </c>
      <c r="M26" s="492"/>
      <c r="N26" s="106">
        <f t="shared" si="3"/>
        <v>5664.087089999999</v>
      </c>
      <c r="O26" s="106">
        <f t="shared" si="3"/>
        <v>3636.3779999999997</v>
      </c>
      <c r="P26" s="106">
        <f t="shared" si="3"/>
        <v>4841.857999999999</v>
      </c>
      <c r="Q26" s="106">
        <f t="shared" si="3"/>
        <v>1545.7479999999998</v>
      </c>
    </row>
    <row r="27" spans="2:17" ht="15">
      <c r="B27" s="762">
        <v>2007</v>
      </c>
      <c r="C27" s="763">
        <f t="shared" si="4"/>
        <v>15711.891089999997</v>
      </c>
      <c r="D27" s="764"/>
      <c r="E27" s="768">
        <v>5676.9770899999985</v>
      </c>
      <c r="F27" s="766">
        <v>3636.3779999999997</v>
      </c>
      <c r="G27" s="766">
        <v>4852.788</v>
      </c>
      <c r="H27" s="767">
        <v>1545.7479999999998</v>
      </c>
      <c r="I27" s="7"/>
      <c r="K27" s="27">
        <f t="shared" si="0"/>
        <v>2007</v>
      </c>
      <c r="L27" s="107">
        <f t="shared" si="2"/>
        <v>15711.891089999997</v>
      </c>
      <c r="M27" s="492"/>
      <c r="N27" s="106">
        <f t="shared" si="3"/>
        <v>5676.9770899999985</v>
      </c>
      <c r="O27" s="106">
        <f t="shared" si="3"/>
        <v>3636.3779999999997</v>
      </c>
      <c r="P27" s="106">
        <f t="shared" si="3"/>
        <v>4852.788</v>
      </c>
      <c r="Q27" s="106">
        <f t="shared" si="3"/>
        <v>1545.7479999999998</v>
      </c>
    </row>
    <row r="28" spans="2:17" ht="15">
      <c r="B28" s="762">
        <v>2008</v>
      </c>
      <c r="C28" s="763">
        <f t="shared" si="4"/>
        <v>15755.033089999999</v>
      </c>
      <c r="D28" s="764"/>
      <c r="E28" s="768">
        <v>5710.71509</v>
      </c>
      <c r="F28" s="766">
        <v>3636.3779999999997</v>
      </c>
      <c r="G28" s="766">
        <v>4862.161999999999</v>
      </c>
      <c r="H28" s="767">
        <v>1545.7779999999998</v>
      </c>
      <c r="I28" s="7"/>
      <c r="K28" s="27">
        <f t="shared" si="0"/>
        <v>2008</v>
      </c>
      <c r="L28" s="107">
        <f>SUM(N28:Q28)</f>
        <v>15755.033089999999</v>
      </c>
      <c r="M28" s="492"/>
      <c r="N28" s="106">
        <f aca="true" t="shared" si="5" ref="N28:Q29">+E28</f>
        <v>5710.71509</v>
      </c>
      <c r="O28" s="106">
        <f t="shared" si="5"/>
        <v>3636.3779999999997</v>
      </c>
      <c r="P28" s="106">
        <f t="shared" si="5"/>
        <v>4862.161999999999</v>
      </c>
      <c r="Q28" s="106">
        <f t="shared" si="5"/>
        <v>1545.7779999999998</v>
      </c>
    </row>
    <row r="29" spans="2:17" ht="15">
      <c r="B29" s="762">
        <v>2009</v>
      </c>
      <c r="C29" s="763">
        <f t="shared" si="4"/>
        <v>16319.40109</v>
      </c>
      <c r="D29" s="764"/>
      <c r="E29" s="768">
        <v>5714.26609</v>
      </c>
      <c r="F29" s="766">
        <v>4057.028</v>
      </c>
      <c r="G29" s="766">
        <v>4992.947</v>
      </c>
      <c r="H29" s="767">
        <v>1555.16</v>
      </c>
      <c r="I29" s="7"/>
      <c r="K29" s="27">
        <f t="shared" si="0"/>
        <v>2009</v>
      </c>
      <c r="L29" s="220">
        <f>SUM(N29:Q29)</f>
        <v>16319.40109</v>
      </c>
      <c r="M29" s="496"/>
      <c r="N29" s="166">
        <f t="shared" si="5"/>
        <v>5714.26609</v>
      </c>
      <c r="O29" s="166">
        <f t="shared" si="5"/>
        <v>4057.028</v>
      </c>
      <c r="P29" s="166">
        <f t="shared" si="5"/>
        <v>4992.947</v>
      </c>
      <c r="Q29" s="166">
        <f t="shared" si="5"/>
        <v>1555.16</v>
      </c>
    </row>
    <row r="30" spans="2:17" ht="15">
      <c r="B30" s="762">
        <v>2010</v>
      </c>
      <c r="C30" s="763">
        <f t="shared" si="4"/>
        <v>17064.863289999998</v>
      </c>
      <c r="D30" s="764"/>
      <c r="E30" s="768">
        <v>5862.567089999999</v>
      </c>
      <c r="F30" s="766">
        <v>4252.078</v>
      </c>
      <c r="G30" s="766">
        <v>5204.0582</v>
      </c>
      <c r="H30" s="767">
        <v>1746.1599999999999</v>
      </c>
      <c r="I30" s="7"/>
      <c r="K30" s="27">
        <f t="shared" si="0"/>
        <v>2010</v>
      </c>
      <c r="L30" s="220">
        <f>SUM(N30:Q30)</f>
        <v>17064.863289999998</v>
      </c>
      <c r="M30" s="496"/>
      <c r="N30" s="166">
        <f aca="true" t="shared" si="6" ref="N30:Q31">+E30</f>
        <v>5862.567089999999</v>
      </c>
      <c r="O30" s="166">
        <f t="shared" si="6"/>
        <v>4252.078</v>
      </c>
      <c r="P30" s="166">
        <f t="shared" si="6"/>
        <v>5204.0582</v>
      </c>
      <c r="Q30" s="166">
        <f t="shared" si="6"/>
        <v>1746.1599999999999</v>
      </c>
    </row>
    <row r="31" spans="2:17" ht="15">
      <c r="B31" s="762" t="s">
        <v>75</v>
      </c>
      <c r="C31" s="763">
        <f>SUM(D31:H31)</f>
        <v>18724.98029</v>
      </c>
      <c r="D31" s="764">
        <v>89</v>
      </c>
      <c r="E31" s="768">
        <v>6849.757089999998</v>
      </c>
      <c r="F31" s="766">
        <v>4443.144</v>
      </c>
      <c r="G31" s="766">
        <v>5563.4592</v>
      </c>
      <c r="H31" s="767">
        <v>1779.62</v>
      </c>
      <c r="I31" s="7"/>
      <c r="K31" s="27" t="str">
        <f t="shared" si="0"/>
        <v>2011*</v>
      </c>
      <c r="L31" s="220">
        <f>SUM(M31:Q31)</f>
        <v>18724.98029</v>
      </c>
      <c r="M31" s="496">
        <f>+D31</f>
        <v>89</v>
      </c>
      <c r="N31" s="166">
        <f t="shared" si="6"/>
        <v>6849.757089999998</v>
      </c>
      <c r="O31" s="166">
        <f t="shared" si="6"/>
        <v>4443.144</v>
      </c>
      <c r="P31" s="166">
        <f t="shared" si="6"/>
        <v>5563.4592</v>
      </c>
      <c r="Q31" s="166">
        <f t="shared" si="6"/>
        <v>1779.62</v>
      </c>
    </row>
    <row r="32" spans="2:17" ht="15">
      <c r="B32" s="822">
        <v>2012</v>
      </c>
      <c r="C32" s="763">
        <v>19619.101089999996</v>
      </c>
      <c r="D32" s="764">
        <v>611</v>
      </c>
      <c r="E32" s="768">
        <v>6969.757089999998</v>
      </c>
      <c r="F32" s="766">
        <v>4448.344</v>
      </c>
      <c r="G32" s="766">
        <v>5760</v>
      </c>
      <c r="H32" s="767">
        <v>1830</v>
      </c>
      <c r="I32" s="7"/>
      <c r="K32" s="27">
        <f>+B32</f>
        <v>2012</v>
      </c>
      <c r="L32" s="220">
        <f>SUM(M32:Q32)</f>
        <v>19619.101089999996</v>
      </c>
      <c r="M32" s="496">
        <f>+D32</f>
        <v>611</v>
      </c>
      <c r="N32" s="166">
        <f>+E32</f>
        <v>6969.757089999998</v>
      </c>
      <c r="O32" s="166">
        <f>+F32</f>
        <v>4448.344</v>
      </c>
      <c r="P32" s="166">
        <f>+G32</f>
        <v>5760</v>
      </c>
      <c r="Q32" s="166">
        <f>+H32</f>
        <v>1830</v>
      </c>
    </row>
    <row r="33" spans="2:17" ht="15.75" thickBot="1">
      <c r="B33" s="769"/>
      <c r="C33" s="769"/>
      <c r="D33" s="770"/>
      <c r="E33" s="771"/>
      <c r="F33" s="772"/>
      <c r="G33" s="772"/>
      <c r="H33" s="773"/>
      <c r="I33" s="7"/>
      <c r="K33" s="27"/>
      <c r="L33" s="492"/>
      <c r="M33" s="492"/>
      <c r="N33" s="493"/>
      <c r="O33" s="493"/>
      <c r="P33" s="493"/>
      <c r="Q33" s="493"/>
    </row>
    <row r="34" spans="2:9" ht="15">
      <c r="B34" s="774" t="s">
        <v>119</v>
      </c>
      <c r="C34" s="775">
        <f>(C32/C31)-1</f>
        <v>0.04775015974128949</v>
      </c>
      <c r="D34" s="776"/>
      <c r="E34" s="777">
        <f>(E32/E31)-1</f>
        <v>0.017518869417309624</v>
      </c>
      <c r="F34" s="778">
        <f>(F32/F31)-1</f>
        <v>0.001170342442198491</v>
      </c>
      <c r="G34" s="779">
        <f>(G32/G31)-1</f>
        <v>0.035327085709552675</v>
      </c>
      <c r="H34" s="780">
        <f>(H32/H31)-1</f>
        <v>0.028309414369359853</v>
      </c>
      <c r="I34" s="184"/>
    </row>
    <row r="35" spans="2:9" ht="15">
      <c r="B35" s="781" t="s">
        <v>117</v>
      </c>
      <c r="C35" s="782">
        <f>((C32/C27)^(1/5))-1</f>
        <v>0.04541837424916584</v>
      </c>
      <c r="D35" s="783"/>
      <c r="E35" s="784">
        <f>((E32/E27)^(1/5))-1</f>
        <v>0.041885754740004666</v>
      </c>
      <c r="F35" s="785">
        <f>((F32/F27)^(1/5))-1</f>
        <v>0.041132176377075114</v>
      </c>
      <c r="G35" s="786">
        <f>((G32/G27)^(1/5))-1</f>
        <v>0.03487103792111568</v>
      </c>
      <c r="H35" s="787">
        <f>((H32/H27)^(1/5))-1</f>
        <v>0.034337997623936634</v>
      </c>
      <c r="I35" s="184"/>
    </row>
    <row r="36" spans="2:9" ht="15">
      <c r="B36" s="781" t="s">
        <v>111</v>
      </c>
      <c r="C36" s="788">
        <f>+C32/C20-1</f>
        <v>0.4366652724590012</v>
      </c>
      <c r="D36" s="789"/>
      <c r="E36" s="789">
        <f>+E32/E20-1</f>
        <v>0.43408689530804256</v>
      </c>
      <c r="F36" s="790">
        <f>+F32/F20-1</f>
        <v>0.4188602597704165</v>
      </c>
      <c r="G36" s="791">
        <f>+G32/G20-1</f>
        <v>0.36707671056660107</v>
      </c>
      <c r="H36" s="792">
        <f>+H32/H20-1</f>
        <v>0.264326442178483</v>
      </c>
      <c r="I36" s="184"/>
    </row>
    <row r="37" spans="2:9" ht="15.75" thickBot="1">
      <c r="B37" s="793" t="s">
        <v>118</v>
      </c>
      <c r="C37" s="794">
        <f>((C32/C20)^(1/12))-1</f>
        <v>0.030654173371759352</v>
      </c>
      <c r="D37" s="795"/>
      <c r="E37" s="796">
        <f>((E32/E20)^(1/12))-1</f>
        <v>0.030499903872400314</v>
      </c>
      <c r="F37" s="797">
        <f>((F32/F20)^(1/12))-1</f>
        <v>0.02958364560040261</v>
      </c>
      <c r="G37" s="798">
        <f>((G32/G20)^(1/12))-1</f>
        <v>0.02639865373460859</v>
      </c>
      <c r="H37" s="799">
        <f>((H32/H20)^(1/12))-1</f>
        <v>0.019737213520893304</v>
      </c>
      <c r="I37" s="184"/>
    </row>
    <row r="38" spans="2:8" ht="14.25">
      <c r="B38" s="800"/>
      <c r="C38" s="801"/>
      <c r="D38" s="802"/>
      <c r="E38" s="800"/>
      <c r="F38" s="800"/>
      <c r="G38" s="800"/>
      <c r="H38" s="800"/>
    </row>
    <row r="39" spans="2:8" ht="14.25">
      <c r="B39" s="803" t="s">
        <v>54</v>
      </c>
      <c r="C39" s="800"/>
      <c r="D39" s="800"/>
      <c r="E39" s="800"/>
      <c r="F39" s="800"/>
      <c r="G39" s="800"/>
      <c r="H39" s="800"/>
    </row>
    <row r="40" spans="2:8" ht="14.25">
      <c r="B40" s="803" t="s">
        <v>55</v>
      </c>
      <c r="C40" s="800"/>
      <c r="D40" s="800"/>
      <c r="E40" s="800"/>
      <c r="F40" s="800"/>
      <c r="G40" s="800"/>
      <c r="H40" s="800"/>
    </row>
    <row r="41" spans="2:8" ht="14.25">
      <c r="B41" s="803" t="s">
        <v>76</v>
      </c>
      <c r="C41" s="800"/>
      <c r="D41" s="800"/>
      <c r="E41" s="800"/>
      <c r="F41" s="800"/>
      <c r="G41" s="800"/>
      <c r="H41" s="800"/>
    </row>
    <row r="42" ht="12.75">
      <c r="B42" s="102"/>
    </row>
    <row r="43" ht="12.75">
      <c r="B43" s="102"/>
    </row>
    <row r="44" ht="12.75">
      <c r="B44" s="102"/>
    </row>
    <row r="45" ht="12.75">
      <c r="B45" s="102"/>
    </row>
    <row r="46" ht="12.75">
      <c r="B46" s="102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1:13" ht="12.75">
      <c r="K56" s="4"/>
      <c r="L56" s="4"/>
      <c r="M56" s="4"/>
    </row>
    <row r="57" spans="10:13" ht="12.75">
      <c r="J57" s="27"/>
      <c r="K57" s="4"/>
      <c r="L57" s="4"/>
      <c r="M57" s="4"/>
    </row>
    <row r="58" spans="11:13" ht="12.75">
      <c r="K58" s="4"/>
      <c r="L58" s="4"/>
      <c r="M58" s="4"/>
    </row>
  </sheetData>
  <sheetProtection/>
  <mergeCells count="4">
    <mergeCell ref="B12:B13"/>
    <mergeCell ref="C12:H12"/>
    <mergeCell ref="C13:H13"/>
    <mergeCell ref="L13:Q13"/>
  </mergeCells>
  <printOptions/>
  <pageMargins left="1.1023622047244095" right="0.4724409448818898" top="0.7480314960629921" bottom="0.984251968503937" header="0" footer="0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1"/>
  <sheetViews>
    <sheetView view="pageBreakPreview" zoomScaleNormal="55" zoomScaleSheetLayoutView="100" zoomScalePageLayoutView="0" workbookViewId="0" topLeftCell="A52">
      <selection activeCell="G39" sqref="G39"/>
    </sheetView>
  </sheetViews>
  <sheetFormatPr defaultColWidth="11.421875" defaultRowHeight="12.75"/>
  <cols>
    <col min="1" max="1" width="5.00390625" style="283" customWidth="1"/>
    <col min="2" max="2" width="22.140625" style="283" customWidth="1"/>
    <col min="3" max="3" width="15.00390625" style="283" customWidth="1"/>
    <col min="4" max="4" width="13.28125" style="283" customWidth="1"/>
    <col min="5" max="5" width="12.7109375" style="283" customWidth="1"/>
    <col min="6" max="6" width="14.00390625" style="283" customWidth="1"/>
    <col min="7" max="7" width="11.00390625" style="283" customWidth="1"/>
    <col min="8" max="8" width="12.421875" style="283" customWidth="1"/>
    <col min="9" max="9" width="11.7109375" style="283" customWidth="1"/>
    <col min="10" max="10" width="11.00390625" style="283" customWidth="1"/>
    <col min="11" max="11" width="12.28125" style="283" customWidth="1"/>
    <col min="12" max="16384" width="11.421875" style="283" customWidth="1"/>
  </cols>
  <sheetData>
    <row r="6" spans="1:10" ht="18">
      <c r="A6" s="914" t="s">
        <v>77</v>
      </c>
      <c r="B6" s="914"/>
      <c r="C6" s="914"/>
      <c r="D6" s="914"/>
      <c r="E6" s="914"/>
      <c r="F6" s="914"/>
      <c r="G6" s="914"/>
      <c r="H6" s="914"/>
      <c r="I6" s="914"/>
      <c r="J6" s="914"/>
    </row>
    <row r="8" spans="3:11" ht="15">
      <c r="C8" s="284"/>
      <c r="D8" s="284"/>
      <c r="E8" s="284"/>
      <c r="F8" s="284"/>
      <c r="G8" s="284"/>
      <c r="H8" s="286"/>
      <c r="I8" s="286"/>
      <c r="J8" s="286"/>
      <c r="K8" s="286"/>
    </row>
    <row r="10" spans="2:11" ht="12.75">
      <c r="B10" s="908" t="s">
        <v>18</v>
      </c>
      <c r="C10" s="910" t="s">
        <v>57</v>
      </c>
      <c r="D10" s="911"/>
      <c r="E10" s="912"/>
      <c r="F10" s="910" t="s">
        <v>10</v>
      </c>
      <c r="G10" s="911"/>
      <c r="H10" s="911"/>
      <c r="I10" s="913" t="s">
        <v>11</v>
      </c>
      <c r="J10" s="911"/>
      <c r="K10" s="912"/>
    </row>
    <row r="11" spans="2:11" ht="12.75">
      <c r="B11" s="909"/>
      <c r="C11" s="499" t="s">
        <v>0</v>
      </c>
      <c r="D11" s="500" t="s">
        <v>16</v>
      </c>
      <c r="E11" s="501" t="s">
        <v>17</v>
      </c>
      <c r="F11" s="502" t="s">
        <v>12</v>
      </c>
      <c r="G11" s="500" t="s">
        <v>16</v>
      </c>
      <c r="H11" s="503" t="s">
        <v>17</v>
      </c>
      <c r="I11" s="504" t="s">
        <v>0</v>
      </c>
      <c r="J11" s="500" t="s">
        <v>16</v>
      </c>
      <c r="K11" s="501" t="s">
        <v>17</v>
      </c>
    </row>
    <row r="12" spans="2:16" ht="12.75">
      <c r="B12" s="505"/>
      <c r="C12" s="506"/>
      <c r="D12" s="507"/>
      <c r="E12" s="508"/>
      <c r="F12" s="509"/>
      <c r="G12" s="507"/>
      <c r="H12" s="510"/>
      <c r="I12" s="511"/>
      <c r="J12" s="507"/>
      <c r="K12" s="508"/>
      <c r="O12" s="283" t="s">
        <v>8</v>
      </c>
      <c r="P12" s="283" t="s">
        <v>9</v>
      </c>
    </row>
    <row r="13" spans="2:11" ht="12.75">
      <c r="B13" s="512"/>
      <c r="C13" s="513"/>
      <c r="D13" s="514"/>
      <c r="E13" s="515"/>
      <c r="F13" s="516"/>
      <c r="G13" s="514"/>
      <c r="H13" s="517"/>
      <c r="I13" s="518"/>
      <c r="J13" s="514"/>
      <c r="K13" s="515"/>
    </row>
    <row r="14" spans="2:16" ht="12.75">
      <c r="B14" s="519">
        <v>1995</v>
      </c>
      <c r="C14" s="520">
        <f aca="true" t="shared" si="0" ref="C14:C29">SUM(D14:E14)</f>
        <v>9849.256128000005</v>
      </c>
      <c r="D14" s="521">
        <f aca="true" t="shared" si="1" ref="D14:E29">SUM(G14,J14)</f>
        <v>6430.384862000004</v>
      </c>
      <c r="E14" s="522">
        <f t="shared" si="1"/>
        <v>3418.8712659999997</v>
      </c>
      <c r="F14" s="523">
        <f aca="true" t="shared" si="2" ref="F14:F29">SUM(G14:H14)</f>
        <v>8673.708087000005</v>
      </c>
      <c r="G14" s="521">
        <v>6430.384862000004</v>
      </c>
      <c r="H14" s="524">
        <v>2243.3232249999996</v>
      </c>
      <c r="I14" s="525">
        <f aca="true" t="shared" si="3" ref="I14:I29">SUM(J14:K14)</f>
        <v>1175.548041</v>
      </c>
      <c r="J14" s="521"/>
      <c r="K14" s="522">
        <v>1175.548041</v>
      </c>
      <c r="L14" s="526"/>
      <c r="M14" s="461"/>
      <c r="N14" s="283">
        <v>1995</v>
      </c>
      <c r="O14" s="289">
        <f aca="true" t="shared" si="4" ref="O14:P27">D14</f>
        <v>6430.384862000004</v>
      </c>
      <c r="P14" s="289">
        <f t="shared" si="4"/>
        <v>3418.8712659999997</v>
      </c>
    </row>
    <row r="15" spans="2:16" ht="12.75">
      <c r="B15" s="527">
        <v>1996</v>
      </c>
      <c r="C15" s="528">
        <f t="shared" si="0"/>
        <v>10330.839597999991</v>
      </c>
      <c r="D15" s="529">
        <f t="shared" si="1"/>
        <v>6781.815841999992</v>
      </c>
      <c r="E15" s="530">
        <f t="shared" si="1"/>
        <v>3549.0237560000005</v>
      </c>
      <c r="F15" s="531">
        <f t="shared" si="2"/>
        <v>8770.610735999991</v>
      </c>
      <c r="G15" s="529">
        <v>6781.815841999992</v>
      </c>
      <c r="H15" s="532">
        <v>1988.7948940000003</v>
      </c>
      <c r="I15" s="533">
        <f t="shared" si="3"/>
        <v>1560.228862</v>
      </c>
      <c r="J15" s="529"/>
      <c r="K15" s="530">
        <v>1560.228862</v>
      </c>
      <c r="L15" s="526"/>
      <c r="M15" s="461"/>
      <c r="N15" s="283">
        <v>1996</v>
      </c>
      <c r="O15" s="289">
        <f t="shared" si="4"/>
        <v>6781.815841999992</v>
      </c>
      <c r="P15" s="289">
        <f t="shared" si="4"/>
        <v>3549.0237560000005</v>
      </c>
    </row>
    <row r="16" spans="2:16" ht="12.75">
      <c r="B16" s="519">
        <v>1997</v>
      </c>
      <c r="C16" s="520">
        <f t="shared" si="0"/>
        <v>12451.230159999992</v>
      </c>
      <c r="D16" s="521">
        <f t="shared" si="1"/>
        <v>7291.649441999992</v>
      </c>
      <c r="E16" s="522">
        <f t="shared" si="1"/>
        <v>5159.580717999999</v>
      </c>
      <c r="F16" s="523">
        <f t="shared" si="2"/>
        <v>9377.89467999999</v>
      </c>
      <c r="G16" s="521">
        <v>7291.649441999992</v>
      </c>
      <c r="H16" s="524">
        <v>2086.2452379999995</v>
      </c>
      <c r="I16" s="525">
        <f t="shared" si="3"/>
        <v>3073.3354799999997</v>
      </c>
      <c r="J16" s="521"/>
      <c r="K16" s="522">
        <v>3073.3354799999997</v>
      </c>
      <c r="L16" s="526"/>
      <c r="M16" s="534"/>
      <c r="N16" s="283">
        <v>1997</v>
      </c>
      <c r="O16" s="289">
        <f t="shared" si="4"/>
        <v>7291.649441999992</v>
      </c>
      <c r="P16" s="289">
        <f t="shared" si="4"/>
        <v>5159.580717999999</v>
      </c>
    </row>
    <row r="17" spans="2:16" ht="12.75">
      <c r="B17" s="527">
        <v>1998</v>
      </c>
      <c r="C17" s="528">
        <f t="shared" si="0"/>
        <v>14008.576822999998</v>
      </c>
      <c r="D17" s="529">
        <f t="shared" si="1"/>
        <v>7755.838101999997</v>
      </c>
      <c r="E17" s="530">
        <f t="shared" si="1"/>
        <v>6252.738721000001</v>
      </c>
      <c r="F17" s="531">
        <f t="shared" si="2"/>
        <v>9878.661572999998</v>
      </c>
      <c r="G17" s="529">
        <v>7755.838101999997</v>
      </c>
      <c r="H17" s="532">
        <v>2122.8234709999997</v>
      </c>
      <c r="I17" s="533">
        <f t="shared" si="3"/>
        <v>4129.915250000001</v>
      </c>
      <c r="J17" s="529"/>
      <c r="K17" s="530">
        <v>4129.915250000001</v>
      </c>
      <c r="L17" s="526"/>
      <c r="M17" s="461"/>
      <c r="N17" s="283">
        <v>1998</v>
      </c>
      <c r="O17" s="289">
        <f t="shared" si="4"/>
        <v>7755.838101999997</v>
      </c>
      <c r="P17" s="289">
        <f t="shared" si="4"/>
        <v>6252.738721000001</v>
      </c>
    </row>
    <row r="18" spans="2:16" ht="12.75">
      <c r="B18" s="519">
        <v>1999</v>
      </c>
      <c r="C18" s="520">
        <f t="shared" si="0"/>
        <v>14591.89155900001</v>
      </c>
      <c r="D18" s="521">
        <f t="shared" si="1"/>
        <v>8071.873335000011</v>
      </c>
      <c r="E18" s="522">
        <f t="shared" si="1"/>
        <v>6520.0182239999995</v>
      </c>
      <c r="F18" s="523">
        <f t="shared" si="2"/>
        <v>10198.89102700001</v>
      </c>
      <c r="G18" s="521">
        <v>8071.873335000011</v>
      </c>
      <c r="H18" s="524">
        <v>2127.017692</v>
      </c>
      <c r="I18" s="525">
        <f t="shared" si="3"/>
        <v>4393.000532</v>
      </c>
      <c r="J18" s="521"/>
      <c r="K18" s="522">
        <v>4393.000532</v>
      </c>
      <c r="L18" s="526"/>
      <c r="M18" s="461"/>
      <c r="N18" s="283">
        <v>1999</v>
      </c>
      <c r="O18" s="289">
        <f t="shared" si="4"/>
        <v>8071.873335000011</v>
      </c>
      <c r="P18" s="289">
        <f t="shared" si="4"/>
        <v>6520.0182239999995</v>
      </c>
    </row>
    <row r="19" spans="2:16" ht="12.75">
      <c r="B19" s="527">
        <v>2000</v>
      </c>
      <c r="C19" s="528">
        <f t="shared" si="0"/>
        <v>15545.595392000014</v>
      </c>
      <c r="D19" s="529">
        <f t="shared" si="1"/>
        <v>8406.778280000013</v>
      </c>
      <c r="E19" s="530">
        <f t="shared" si="1"/>
        <v>7138.817112000001</v>
      </c>
      <c r="F19" s="531">
        <f t="shared" si="2"/>
        <v>10763.269271000014</v>
      </c>
      <c r="G19" s="529">
        <v>8406.778280000013</v>
      </c>
      <c r="H19" s="532">
        <v>2356.490991</v>
      </c>
      <c r="I19" s="533">
        <f t="shared" si="3"/>
        <v>4782.326121</v>
      </c>
      <c r="J19" s="535"/>
      <c r="K19" s="530">
        <v>4782.326121</v>
      </c>
      <c r="L19" s="526"/>
      <c r="M19" s="461"/>
      <c r="N19" s="283">
        <v>2000</v>
      </c>
      <c r="O19" s="289">
        <f t="shared" si="4"/>
        <v>8406.778280000013</v>
      </c>
      <c r="P19" s="289">
        <f t="shared" si="4"/>
        <v>7138.817112000001</v>
      </c>
    </row>
    <row r="20" spans="2:16" ht="12.75">
      <c r="B20" s="519">
        <v>2001</v>
      </c>
      <c r="C20" s="520">
        <f t="shared" si="0"/>
        <v>16628.75454499999</v>
      </c>
      <c r="D20" s="521">
        <f t="shared" si="1"/>
        <v>8654.853232999987</v>
      </c>
      <c r="E20" s="522">
        <f t="shared" si="1"/>
        <v>7973.901312</v>
      </c>
      <c r="F20" s="523">
        <f t="shared" si="2"/>
        <v>10522.374724999987</v>
      </c>
      <c r="G20" s="521">
        <v>8654.853232999987</v>
      </c>
      <c r="H20" s="524">
        <v>1867.5214919999999</v>
      </c>
      <c r="I20" s="525">
        <f t="shared" si="3"/>
        <v>6106.37982</v>
      </c>
      <c r="J20" s="536"/>
      <c r="K20" s="522">
        <v>6106.37982</v>
      </c>
      <c r="L20" s="526"/>
      <c r="M20" s="461"/>
      <c r="N20" s="283">
        <v>2001</v>
      </c>
      <c r="O20" s="289">
        <f t="shared" si="4"/>
        <v>8654.853232999987</v>
      </c>
      <c r="P20" s="289">
        <f t="shared" si="4"/>
        <v>7973.901312</v>
      </c>
    </row>
    <row r="21" spans="2:16" ht="12.75">
      <c r="B21" s="527">
        <v>2002</v>
      </c>
      <c r="C21" s="528">
        <f t="shared" si="0"/>
        <v>17605.325913848</v>
      </c>
      <c r="D21" s="529">
        <f t="shared" si="1"/>
        <v>9221.888807000001</v>
      </c>
      <c r="E21" s="530">
        <f t="shared" si="1"/>
        <v>8383.437106848</v>
      </c>
      <c r="F21" s="531">
        <f t="shared" si="2"/>
        <v>11113.547163000001</v>
      </c>
      <c r="G21" s="529">
        <v>9221.888807000001</v>
      </c>
      <c r="H21" s="532">
        <v>1891.6583559999997</v>
      </c>
      <c r="I21" s="533">
        <f t="shared" si="3"/>
        <v>6491.778750848</v>
      </c>
      <c r="J21" s="535"/>
      <c r="K21" s="530">
        <v>6491.778750848</v>
      </c>
      <c r="L21" s="526"/>
      <c r="N21" s="317">
        <v>2002</v>
      </c>
      <c r="O21" s="289">
        <f t="shared" si="4"/>
        <v>9221.888807000001</v>
      </c>
      <c r="P21" s="289">
        <f t="shared" si="4"/>
        <v>8383.437106848</v>
      </c>
    </row>
    <row r="22" spans="2:16" ht="12.75">
      <c r="B22" s="519">
        <v>2003</v>
      </c>
      <c r="C22" s="520">
        <f>SUM(D22:E22)</f>
        <v>18375.33541</v>
      </c>
      <c r="D22" s="521">
        <f t="shared" si="1"/>
        <v>9610.790289</v>
      </c>
      <c r="E22" s="522">
        <f t="shared" si="1"/>
        <v>8764.545121000001</v>
      </c>
      <c r="F22" s="523">
        <f t="shared" si="2"/>
        <v>11303.613573</v>
      </c>
      <c r="G22" s="521">
        <v>9610.790289</v>
      </c>
      <c r="H22" s="524">
        <v>1692.823284</v>
      </c>
      <c r="I22" s="525">
        <f>SUM(J22:K22)</f>
        <v>7071.721837000001</v>
      </c>
      <c r="J22" s="536"/>
      <c r="K22" s="522">
        <v>7071.721837000001</v>
      </c>
      <c r="L22" s="537"/>
      <c r="N22" s="283">
        <v>2003</v>
      </c>
      <c r="O22" s="289">
        <f t="shared" si="4"/>
        <v>9610.790289</v>
      </c>
      <c r="P22" s="289">
        <f t="shared" si="4"/>
        <v>8764.545121000001</v>
      </c>
    </row>
    <row r="23" spans="2:16" ht="12.75">
      <c r="B23" s="527">
        <v>2004</v>
      </c>
      <c r="C23" s="528">
        <f t="shared" si="0"/>
        <v>19640.65111</v>
      </c>
      <c r="D23" s="529">
        <f t="shared" si="1"/>
        <v>10352.511363000001</v>
      </c>
      <c r="E23" s="530">
        <f t="shared" si="1"/>
        <v>9288.139747</v>
      </c>
      <c r="F23" s="531">
        <f t="shared" si="2"/>
        <v>12001.305316000002</v>
      </c>
      <c r="G23" s="529">
        <v>10352.511363000001</v>
      </c>
      <c r="H23" s="532">
        <v>1648.793953</v>
      </c>
      <c r="I23" s="533">
        <f t="shared" si="3"/>
        <v>7639.345794</v>
      </c>
      <c r="J23" s="535"/>
      <c r="K23" s="530">
        <v>7639.345794</v>
      </c>
      <c r="L23" s="526"/>
      <c r="N23" s="317">
        <v>2004</v>
      </c>
      <c r="O23" s="289">
        <f t="shared" si="4"/>
        <v>10352.511363000001</v>
      </c>
      <c r="P23" s="289">
        <f t="shared" si="4"/>
        <v>9288.139747</v>
      </c>
    </row>
    <row r="24" spans="2:16" ht="12.75">
      <c r="B24" s="519">
        <v>2005</v>
      </c>
      <c r="C24" s="520">
        <f t="shared" si="0"/>
        <v>20701.382880222223</v>
      </c>
      <c r="D24" s="521">
        <f t="shared" si="1"/>
        <v>11150.106846222223</v>
      </c>
      <c r="E24" s="522">
        <f t="shared" si="1"/>
        <v>9551.276034</v>
      </c>
      <c r="F24" s="523">
        <f t="shared" si="2"/>
        <v>12914.287800222222</v>
      </c>
      <c r="G24" s="521">
        <v>11150.106846222223</v>
      </c>
      <c r="H24" s="524">
        <v>1764.180954</v>
      </c>
      <c r="I24" s="525">
        <f t="shared" si="3"/>
        <v>7787.095080000001</v>
      </c>
      <c r="J24" s="536"/>
      <c r="K24" s="522">
        <v>7787.095080000001</v>
      </c>
      <c r="L24" s="526"/>
      <c r="N24" s="283">
        <v>2005</v>
      </c>
      <c r="O24" s="289">
        <f t="shared" si="4"/>
        <v>11150.106846222223</v>
      </c>
      <c r="P24" s="289">
        <f t="shared" si="4"/>
        <v>9551.276034</v>
      </c>
    </row>
    <row r="25" spans="2:16" ht="12.75">
      <c r="B25" s="527">
        <v>2006</v>
      </c>
      <c r="C25" s="528">
        <f t="shared" si="0"/>
        <v>22290.061152999995</v>
      </c>
      <c r="D25" s="529">
        <f>SUM(G25,J25)</f>
        <v>12169.514937999998</v>
      </c>
      <c r="E25" s="530">
        <f>SUM(H25,K25)</f>
        <v>10120.546214999998</v>
      </c>
      <c r="F25" s="531">
        <f t="shared" si="2"/>
        <v>14043.638326999999</v>
      </c>
      <c r="G25" s="529">
        <v>12169.514937999998</v>
      </c>
      <c r="H25" s="532">
        <v>1874.1233889999999</v>
      </c>
      <c r="I25" s="533">
        <f t="shared" si="3"/>
        <v>8246.422825999998</v>
      </c>
      <c r="J25" s="535"/>
      <c r="K25" s="530">
        <v>8246.422825999998</v>
      </c>
      <c r="L25" s="526"/>
      <c r="N25" s="317">
        <v>2006</v>
      </c>
      <c r="O25" s="289">
        <f t="shared" si="4"/>
        <v>12169.514937999998</v>
      </c>
      <c r="P25" s="289">
        <f t="shared" si="4"/>
        <v>10120.546214999998</v>
      </c>
    </row>
    <row r="26" spans="2:16" ht="12.75">
      <c r="B26" s="519">
        <v>2007</v>
      </c>
      <c r="C26" s="520">
        <f t="shared" si="0"/>
        <v>24721.748553</v>
      </c>
      <c r="D26" s="521">
        <f t="shared" si="1"/>
        <v>13346.184469</v>
      </c>
      <c r="E26" s="522">
        <f t="shared" si="1"/>
        <v>11375.564084000001</v>
      </c>
      <c r="F26" s="538">
        <f t="shared" si="2"/>
        <v>15032.180855</v>
      </c>
      <c r="G26" s="521">
        <v>13346.184469</v>
      </c>
      <c r="H26" s="524">
        <v>1685.996386</v>
      </c>
      <c r="I26" s="525">
        <f t="shared" si="3"/>
        <v>9689.567698</v>
      </c>
      <c r="J26" s="536"/>
      <c r="K26" s="522">
        <v>9689.567698</v>
      </c>
      <c r="L26" s="526"/>
      <c r="N26" s="317">
        <v>2007</v>
      </c>
      <c r="O26" s="289">
        <f t="shared" si="4"/>
        <v>13346.184469</v>
      </c>
      <c r="P26" s="289">
        <f t="shared" si="4"/>
        <v>11375.564084000001</v>
      </c>
    </row>
    <row r="27" spans="2:16" ht="12.75">
      <c r="B27" s="527">
        <v>2008</v>
      </c>
      <c r="C27" s="528">
        <f t="shared" si="0"/>
        <v>26964.414596000002</v>
      </c>
      <c r="D27" s="529">
        <f t="shared" si="1"/>
        <v>14569.444074000001</v>
      </c>
      <c r="E27" s="530">
        <f t="shared" si="1"/>
        <v>12394.970522</v>
      </c>
      <c r="F27" s="539">
        <f t="shared" si="2"/>
        <v>16297.176545</v>
      </c>
      <c r="G27" s="529">
        <v>14569.444074000001</v>
      </c>
      <c r="H27" s="532">
        <v>1727.732471</v>
      </c>
      <c r="I27" s="533">
        <f t="shared" si="3"/>
        <v>10667.238051</v>
      </c>
      <c r="J27" s="535"/>
      <c r="K27" s="530">
        <v>10667.238051</v>
      </c>
      <c r="L27" s="526"/>
      <c r="N27" s="317">
        <v>2008</v>
      </c>
      <c r="O27" s="289">
        <f t="shared" si="4"/>
        <v>14569.444074000001</v>
      </c>
      <c r="P27" s="289">
        <f t="shared" si="4"/>
        <v>12394.970522</v>
      </c>
    </row>
    <row r="28" spans="2:16" ht="12.75">
      <c r="B28" s="519">
        <v>2009</v>
      </c>
      <c r="C28" s="520">
        <f t="shared" si="0"/>
        <v>27087.005776999995</v>
      </c>
      <c r="D28" s="521">
        <f t="shared" si="1"/>
        <v>15204.704771999996</v>
      </c>
      <c r="E28" s="522">
        <f t="shared" si="1"/>
        <v>11882.301005</v>
      </c>
      <c r="F28" s="538">
        <f t="shared" si="2"/>
        <v>17000.664144999995</v>
      </c>
      <c r="G28" s="521">
        <v>15204.704771999996</v>
      </c>
      <c r="H28" s="524">
        <v>1795.9593729999997</v>
      </c>
      <c r="I28" s="525">
        <f t="shared" si="3"/>
        <v>10086.341632</v>
      </c>
      <c r="J28" s="536"/>
      <c r="K28" s="522">
        <v>10086.341632</v>
      </c>
      <c r="L28" s="526"/>
      <c r="N28" s="317">
        <v>2009</v>
      </c>
      <c r="O28" s="289">
        <f aca="true" t="shared" si="5" ref="O28:P30">D28</f>
        <v>15204.704771999996</v>
      </c>
      <c r="P28" s="289">
        <f t="shared" si="5"/>
        <v>11882.301005</v>
      </c>
    </row>
    <row r="29" spans="2:16" ht="12.75">
      <c r="B29" s="527">
        <v>2010</v>
      </c>
      <c r="C29" s="528">
        <f t="shared" si="0"/>
        <v>29436.175124</v>
      </c>
      <c r="D29" s="529">
        <f t="shared" si="1"/>
        <v>16430.850569000002</v>
      </c>
      <c r="E29" s="530">
        <f t="shared" si="1"/>
        <v>13005.324555</v>
      </c>
      <c r="F29" s="539">
        <f t="shared" si="2"/>
        <v>18195.325098</v>
      </c>
      <c r="G29" s="529">
        <v>16430.850569000002</v>
      </c>
      <c r="H29" s="532">
        <v>1764.474529</v>
      </c>
      <c r="I29" s="533">
        <f t="shared" si="3"/>
        <v>11240.850026</v>
      </c>
      <c r="J29" s="535"/>
      <c r="K29" s="530">
        <v>11240.850026</v>
      </c>
      <c r="L29" s="526"/>
      <c r="N29" s="317">
        <v>2010</v>
      </c>
      <c r="O29" s="289">
        <f t="shared" si="5"/>
        <v>16430.850569000002</v>
      </c>
      <c r="P29" s="289">
        <f t="shared" si="5"/>
        <v>13005.324555</v>
      </c>
    </row>
    <row r="30" spans="2:16" ht="12.75">
      <c r="B30" s="519">
        <v>2011</v>
      </c>
      <c r="C30" s="520">
        <f>SUM(D30:E30)</f>
        <v>31820.3508052511</v>
      </c>
      <c r="D30" s="521">
        <f>SUM(G30,J30)</f>
        <v>17891.5565232511</v>
      </c>
      <c r="E30" s="522">
        <f>SUM(H30,K30)</f>
        <v>13928.794281999999</v>
      </c>
      <c r="F30" s="538">
        <f>SUM(G30:H30)</f>
        <v>19753.0406982511</v>
      </c>
      <c r="G30" s="521">
        <v>17891.5565232511</v>
      </c>
      <c r="H30" s="524">
        <v>1861.484175</v>
      </c>
      <c r="I30" s="525">
        <f>SUM(J30:K30)</f>
        <v>12067.310107</v>
      </c>
      <c r="J30" s="536"/>
      <c r="K30" s="522">
        <v>12067.310107</v>
      </c>
      <c r="L30" s="526"/>
      <c r="N30" s="317">
        <v>2011</v>
      </c>
      <c r="O30" s="289">
        <f t="shared" si="5"/>
        <v>17891.5565232511</v>
      </c>
      <c r="P30" s="289">
        <f t="shared" si="5"/>
        <v>13928.794281999999</v>
      </c>
    </row>
    <row r="31" spans="2:16" ht="12.75">
      <c r="B31" s="527">
        <v>2012</v>
      </c>
      <c r="C31" s="528">
        <v>33646.390486</v>
      </c>
      <c r="D31" s="529">
        <v>18960.374491</v>
      </c>
      <c r="E31" s="530">
        <v>14686.015995</v>
      </c>
      <c r="F31" s="539">
        <v>20945.499936</v>
      </c>
      <c r="G31" s="529">
        <v>18960.374491</v>
      </c>
      <c r="H31" s="532">
        <v>1985.125445</v>
      </c>
      <c r="I31" s="533">
        <v>12700.89055</v>
      </c>
      <c r="J31" s="535"/>
      <c r="K31" s="530">
        <v>12700.89055</v>
      </c>
      <c r="L31" s="526"/>
      <c r="N31" s="317">
        <v>2012</v>
      </c>
      <c r="O31" s="289">
        <f>D31</f>
        <v>18960.374491</v>
      </c>
      <c r="P31" s="289">
        <f>E31</f>
        <v>14686.015995</v>
      </c>
    </row>
    <row r="32" spans="2:16" ht="13.5" thickBot="1">
      <c r="B32" s="527"/>
      <c r="C32" s="528"/>
      <c r="D32" s="529"/>
      <c r="E32" s="530"/>
      <c r="F32" s="539"/>
      <c r="G32" s="529"/>
      <c r="H32" s="532"/>
      <c r="I32" s="533"/>
      <c r="J32" s="540"/>
      <c r="K32" s="530"/>
      <c r="L32" s="526"/>
      <c r="N32" s="317"/>
      <c r="O32" s="289"/>
      <c r="P32" s="289"/>
    </row>
    <row r="33" spans="2:14" ht="12.75" customHeight="1">
      <c r="B33" s="331" t="s">
        <v>109</v>
      </c>
      <c r="C33" s="332">
        <f>(C31/C30)-1</f>
        <v>0.05738590664586751</v>
      </c>
      <c r="D33" s="335">
        <f aca="true" t="shared" si="6" ref="D33:I33">(D31/D30)-1</f>
        <v>0.05973867988287718</v>
      </c>
      <c r="E33" s="333">
        <f t="shared" si="6"/>
        <v>0.05436376599936921</v>
      </c>
      <c r="F33" s="541">
        <f t="shared" si="6"/>
        <v>0.06036838864279148</v>
      </c>
      <c r="G33" s="542">
        <f t="shared" si="6"/>
        <v>0.05973867988287718</v>
      </c>
      <c r="H33" s="543">
        <f t="shared" si="6"/>
        <v>0.06642080102561154</v>
      </c>
      <c r="I33" s="544">
        <f t="shared" si="6"/>
        <v>0.05250386684207897</v>
      </c>
      <c r="J33" s="545"/>
      <c r="K33" s="546">
        <f>(K31/K30)-1</f>
        <v>0.05250386684207897</v>
      </c>
      <c r="M33" s="547"/>
      <c r="N33" s="547"/>
    </row>
    <row r="34" spans="2:11" ht="12.75" customHeight="1">
      <c r="B34" s="548" t="s">
        <v>110</v>
      </c>
      <c r="C34" s="549">
        <f>((C31/C26)^(1/5))-1</f>
        <v>0.06358415621799884</v>
      </c>
      <c r="D34" s="550">
        <f aca="true" t="shared" si="7" ref="D34:I34">((D31/D26)^(1/5))-1</f>
        <v>0.07274860272030614</v>
      </c>
      <c r="E34" s="551">
        <f t="shared" si="7"/>
        <v>0.05241301697018774</v>
      </c>
      <c r="F34" s="552">
        <f t="shared" si="7"/>
        <v>0.06859650077345614</v>
      </c>
      <c r="G34" s="553">
        <f t="shared" si="7"/>
        <v>0.07274860272030614</v>
      </c>
      <c r="H34" s="554">
        <f t="shared" si="7"/>
        <v>0.0332044389210262</v>
      </c>
      <c r="I34" s="555">
        <f t="shared" si="7"/>
        <v>0.05561597623003611</v>
      </c>
      <c r="J34" s="556"/>
      <c r="K34" s="557">
        <f>((K31/K26)^(1/5))-1</f>
        <v>0.05561597623003611</v>
      </c>
    </row>
    <row r="35" spans="2:11" ht="12.75" customHeight="1">
      <c r="B35" s="558" t="s">
        <v>111</v>
      </c>
      <c r="C35" s="559">
        <f>(C31/C19)-1</f>
        <v>1.1643680822488736</v>
      </c>
      <c r="D35" s="560">
        <f aca="true" t="shared" si="8" ref="D35:I35">(D31/D19)-1</f>
        <v>1.2553674974523021</v>
      </c>
      <c r="E35" s="561">
        <f t="shared" si="8"/>
        <v>1.0572058037897523</v>
      </c>
      <c r="F35" s="562">
        <f t="shared" si="8"/>
        <v>0.9460165316531153</v>
      </c>
      <c r="G35" s="563">
        <f t="shared" si="8"/>
        <v>1.2553674974523021</v>
      </c>
      <c r="H35" s="564">
        <f t="shared" si="8"/>
        <v>-0.15759260163452082</v>
      </c>
      <c r="I35" s="565">
        <f t="shared" si="8"/>
        <v>1.6557976659576288</v>
      </c>
      <c r="J35" s="566"/>
      <c r="K35" s="567">
        <f>(K31/K19)-1</f>
        <v>1.6557976659576288</v>
      </c>
    </row>
    <row r="36" spans="2:11" ht="12.75" customHeight="1" thickBot="1">
      <c r="B36" s="473" t="s">
        <v>112</v>
      </c>
      <c r="C36" s="568">
        <f>((C31/C19)^(1/12))-1</f>
        <v>0.06645923673425247</v>
      </c>
      <c r="D36" s="569">
        <f aca="true" t="shared" si="9" ref="D36:I36">((D31/D19)^(1/12))-1</f>
        <v>0.07012565641092405</v>
      </c>
      <c r="E36" s="570">
        <f t="shared" si="9"/>
        <v>0.06195589094834775</v>
      </c>
      <c r="F36" s="571">
        <f t="shared" si="9"/>
        <v>0.05705003218863114</v>
      </c>
      <c r="G36" s="572">
        <f t="shared" si="9"/>
        <v>0.07012565641092405</v>
      </c>
      <c r="H36" s="573">
        <f t="shared" si="9"/>
        <v>-0.01418933023334612</v>
      </c>
      <c r="I36" s="574">
        <f t="shared" si="9"/>
        <v>0.0847997640812097</v>
      </c>
      <c r="J36" s="566"/>
      <c r="K36" s="575">
        <f>((K31/K19)^(1/12))-1</f>
        <v>0.0847997640812097</v>
      </c>
    </row>
    <row r="37" spans="2:3" ht="12.75">
      <c r="B37" s="363" t="s">
        <v>69</v>
      </c>
      <c r="C37" s="477"/>
    </row>
    <row r="38" spans="2:3" ht="12.75">
      <c r="B38" s="366"/>
      <c r="C38" s="576"/>
    </row>
    <row r="39" ht="12.75">
      <c r="B39" s="577"/>
    </row>
    <row r="40" spans="15:16" ht="12.75">
      <c r="O40" s="283" t="s">
        <v>10</v>
      </c>
      <c r="P40" s="283" t="s">
        <v>11</v>
      </c>
    </row>
    <row r="41" spans="15:16" ht="12.75">
      <c r="O41" s="289"/>
      <c r="P41" s="289"/>
    </row>
    <row r="42" spans="15:16" ht="12.75">
      <c r="O42" s="289"/>
      <c r="P42" s="289"/>
    </row>
    <row r="43" spans="14:16" ht="12.75">
      <c r="N43" s="283">
        <v>1995</v>
      </c>
      <c r="O43" s="289">
        <f aca="true" t="shared" si="10" ref="O43:O59">F14</f>
        <v>8673.708087000005</v>
      </c>
      <c r="P43" s="289">
        <f aca="true" t="shared" si="11" ref="P43:P59">I14</f>
        <v>1175.548041</v>
      </c>
    </row>
    <row r="44" spans="14:16" ht="12.75">
      <c r="N44" s="283">
        <v>1996</v>
      </c>
      <c r="O44" s="289">
        <f t="shared" si="10"/>
        <v>8770.610735999991</v>
      </c>
      <c r="P44" s="289">
        <f t="shared" si="11"/>
        <v>1560.228862</v>
      </c>
    </row>
    <row r="45" spans="14:16" ht="12.75">
      <c r="N45" s="283">
        <v>1997</v>
      </c>
      <c r="O45" s="289">
        <f t="shared" si="10"/>
        <v>9377.89467999999</v>
      </c>
      <c r="P45" s="289">
        <f t="shared" si="11"/>
        <v>3073.3354799999997</v>
      </c>
    </row>
    <row r="46" spans="14:16" ht="12.75">
      <c r="N46" s="283">
        <v>1998</v>
      </c>
      <c r="O46" s="289">
        <f t="shared" si="10"/>
        <v>9878.661572999998</v>
      </c>
      <c r="P46" s="289">
        <f t="shared" si="11"/>
        <v>4129.915250000001</v>
      </c>
    </row>
    <row r="47" spans="14:16" ht="12.75">
      <c r="N47" s="283">
        <v>1999</v>
      </c>
      <c r="O47" s="289">
        <f t="shared" si="10"/>
        <v>10198.89102700001</v>
      </c>
      <c r="P47" s="289">
        <f t="shared" si="11"/>
        <v>4393.000532</v>
      </c>
    </row>
    <row r="48" spans="14:16" ht="12.75">
      <c r="N48" s="283">
        <v>2000</v>
      </c>
      <c r="O48" s="289">
        <f t="shared" si="10"/>
        <v>10763.269271000014</v>
      </c>
      <c r="P48" s="289">
        <f t="shared" si="11"/>
        <v>4782.326121</v>
      </c>
    </row>
    <row r="49" spans="14:16" ht="12.75">
      <c r="N49" s="283">
        <v>2001</v>
      </c>
      <c r="O49" s="289">
        <f t="shared" si="10"/>
        <v>10522.374724999987</v>
      </c>
      <c r="P49" s="289">
        <f t="shared" si="11"/>
        <v>6106.37982</v>
      </c>
    </row>
    <row r="50" spans="14:16" ht="12.75">
      <c r="N50" s="317">
        <v>2002</v>
      </c>
      <c r="O50" s="289">
        <f t="shared" si="10"/>
        <v>11113.547163000001</v>
      </c>
      <c r="P50" s="289">
        <f t="shared" si="11"/>
        <v>6491.778750848</v>
      </c>
    </row>
    <row r="51" spans="14:16" ht="12.75">
      <c r="N51" s="283">
        <v>2003</v>
      </c>
      <c r="O51" s="289">
        <f t="shared" si="10"/>
        <v>11303.613573</v>
      </c>
      <c r="P51" s="289">
        <f t="shared" si="11"/>
        <v>7071.721837000001</v>
      </c>
    </row>
    <row r="52" spans="14:16" ht="12.75">
      <c r="N52" s="317">
        <v>2004</v>
      </c>
      <c r="O52" s="289">
        <f t="shared" si="10"/>
        <v>12001.305316000002</v>
      </c>
      <c r="P52" s="289">
        <f t="shared" si="11"/>
        <v>7639.345794</v>
      </c>
    </row>
    <row r="53" spans="14:16" ht="12.75">
      <c r="N53" s="283">
        <v>2005</v>
      </c>
      <c r="O53" s="289">
        <f t="shared" si="10"/>
        <v>12914.287800222222</v>
      </c>
      <c r="P53" s="289">
        <f t="shared" si="11"/>
        <v>7787.095080000001</v>
      </c>
    </row>
    <row r="54" spans="14:16" ht="12.75">
      <c r="N54" s="317">
        <v>2006</v>
      </c>
      <c r="O54" s="289">
        <f t="shared" si="10"/>
        <v>14043.638326999999</v>
      </c>
      <c r="P54" s="289">
        <f t="shared" si="11"/>
        <v>8246.422825999998</v>
      </c>
    </row>
    <row r="55" spans="14:16" ht="12.75">
      <c r="N55" s="317">
        <v>2007</v>
      </c>
      <c r="O55" s="289">
        <f t="shared" si="10"/>
        <v>15032.180855</v>
      </c>
      <c r="P55" s="289">
        <f t="shared" si="11"/>
        <v>9689.567698</v>
      </c>
    </row>
    <row r="56" spans="14:16" ht="12.75">
      <c r="N56" s="317">
        <v>2008</v>
      </c>
      <c r="O56" s="289">
        <f t="shared" si="10"/>
        <v>16297.176545</v>
      </c>
      <c r="P56" s="289">
        <f t="shared" si="11"/>
        <v>10667.238051</v>
      </c>
    </row>
    <row r="57" spans="14:16" ht="12.75">
      <c r="N57" s="317">
        <v>2009</v>
      </c>
      <c r="O57" s="289">
        <f t="shared" si="10"/>
        <v>17000.664144999995</v>
      </c>
      <c r="P57" s="289">
        <f t="shared" si="11"/>
        <v>10086.341632</v>
      </c>
    </row>
    <row r="58" spans="14:16" ht="12.75">
      <c r="N58" s="317">
        <v>2010</v>
      </c>
      <c r="O58" s="289">
        <f t="shared" si="10"/>
        <v>18195.325098</v>
      </c>
      <c r="P58" s="289">
        <f t="shared" si="11"/>
        <v>11240.850026</v>
      </c>
    </row>
    <row r="59" spans="14:16" ht="12.75">
      <c r="N59" s="317">
        <v>2011</v>
      </c>
      <c r="O59" s="289">
        <f t="shared" si="10"/>
        <v>19753.0406982511</v>
      </c>
      <c r="P59" s="289">
        <f t="shared" si="11"/>
        <v>12067.310107</v>
      </c>
    </row>
    <row r="60" spans="14:16" ht="12.75">
      <c r="N60" s="317">
        <v>2012</v>
      </c>
      <c r="O60" s="289">
        <f>F31</f>
        <v>20945.499936</v>
      </c>
      <c r="P60" s="289">
        <f>I31</f>
        <v>12700.89055</v>
      </c>
    </row>
    <row r="61" spans="14:16" ht="12.75">
      <c r="N61" s="317"/>
      <c r="O61" s="289"/>
      <c r="P61" s="289"/>
    </row>
  </sheetData>
  <sheetProtection/>
  <mergeCells count="5">
    <mergeCell ref="B10:B11"/>
    <mergeCell ref="C10:E10"/>
    <mergeCell ref="F10:H10"/>
    <mergeCell ref="I10:K10"/>
    <mergeCell ref="A6:J6"/>
  </mergeCells>
  <printOptions horizontalCentered="1" verticalCentered="1"/>
  <pageMargins left="0.68" right="0.59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81"/>
  <sheetViews>
    <sheetView zoomScale="115" zoomScaleNormal="115" zoomScaleSheetLayoutView="75" zoomScalePageLayoutView="0" workbookViewId="0" topLeftCell="A34">
      <selection activeCell="C30" sqref="C30"/>
    </sheetView>
  </sheetViews>
  <sheetFormatPr defaultColWidth="11.421875" defaultRowHeight="12.75"/>
  <cols>
    <col min="1" max="1" width="4.574218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5" max="15" width="13.421875" style="0" bestFit="1" customWidth="1"/>
    <col min="16" max="16" width="12.7109375" style="0" bestFit="1" customWidth="1"/>
  </cols>
  <sheetData>
    <row r="4" ht="18">
      <c r="A4" s="9" t="s">
        <v>92</v>
      </c>
    </row>
    <row r="6" spans="3:11" ht="15">
      <c r="C6" s="1"/>
      <c r="D6" s="1"/>
      <c r="E6" s="1"/>
      <c r="F6" s="1"/>
      <c r="G6" s="1"/>
      <c r="H6" s="2"/>
      <c r="I6" s="2"/>
      <c r="J6" s="2"/>
      <c r="K6" s="2"/>
    </row>
    <row r="7" spans="2:11" ht="18">
      <c r="B7" s="9"/>
      <c r="K7" s="6"/>
    </row>
    <row r="9" spans="2:11" ht="12.75">
      <c r="B9" s="915" t="s">
        <v>18</v>
      </c>
      <c r="C9" s="917" t="s">
        <v>57</v>
      </c>
      <c r="D9" s="918"/>
      <c r="E9" s="918"/>
      <c r="F9" s="917" t="s">
        <v>10</v>
      </c>
      <c r="G9" s="918"/>
      <c r="H9" s="918"/>
      <c r="I9" s="919" t="s">
        <v>11</v>
      </c>
      <c r="J9" s="918"/>
      <c r="K9" s="920"/>
    </row>
    <row r="10" spans="2:11" ht="12.75">
      <c r="B10" s="916"/>
      <c r="C10" s="104" t="s">
        <v>0</v>
      </c>
      <c r="D10" s="109" t="s">
        <v>16</v>
      </c>
      <c r="E10" s="110" t="s">
        <v>17</v>
      </c>
      <c r="F10" s="111" t="s">
        <v>12</v>
      </c>
      <c r="G10" s="109" t="s">
        <v>16</v>
      </c>
      <c r="H10" s="110" t="s">
        <v>17</v>
      </c>
      <c r="I10" s="112" t="s">
        <v>0</v>
      </c>
      <c r="J10" s="109" t="s">
        <v>16</v>
      </c>
      <c r="K10" s="113" t="s">
        <v>17</v>
      </c>
    </row>
    <row r="11" spans="2:11" ht="12.75">
      <c r="B11" s="114"/>
      <c r="C11" s="115"/>
      <c r="D11" s="116"/>
      <c r="E11" s="117"/>
      <c r="F11" s="118"/>
      <c r="G11" s="116"/>
      <c r="H11" s="117"/>
      <c r="I11" s="119"/>
      <c r="J11" s="116"/>
      <c r="K11" s="120"/>
    </row>
    <row r="12" spans="2:13" ht="12.75">
      <c r="B12" s="121">
        <v>1995</v>
      </c>
      <c r="C12" s="122">
        <f>SUM(D12:E12)</f>
        <v>826676.0016897423</v>
      </c>
      <c r="D12" s="123">
        <v>652594.7050503913</v>
      </c>
      <c r="E12" s="124">
        <v>174081.29663935103</v>
      </c>
      <c r="F12" s="125">
        <f aca="true" t="shared" si="0" ref="F12:F21">SUM(G12:H12)</f>
        <v>776779.1913939897</v>
      </c>
      <c r="G12" s="123">
        <v>652594.7050503913</v>
      </c>
      <c r="H12" s="124">
        <v>124184.48634359846</v>
      </c>
      <c r="I12" s="126">
        <f aca="true" t="shared" si="1" ref="I12:I21">SUM(J12:K12)</f>
        <v>49896.81029575256</v>
      </c>
      <c r="J12" s="123"/>
      <c r="K12" s="127">
        <v>49896.81029575256</v>
      </c>
      <c r="L12" s="7"/>
      <c r="M12" s="5"/>
    </row>
    <row r="13" spans="2:13" ht="12.75">
      <c r="B13" s="82">
        <v>1996</v>
      </c>
      <c r="C13" s="83">
        <f>SUM(D13:E13)</f>
        <v>893370.3951408174</v>
      </c>
      <c r="D13" s="55">
        <v>703942.0843935553</v>
      </c>
      <c r="E13" s="54">
        <v>189428.31074726206</v>
      </c>
      <c r="F13" s="128">
        <f t="shared" si="0"/>
        <v>822460.2785926422</v>
      </c>
      <c r="G13" s="55">
        <v>703942.0843935553</v>
      </c>
      <c r="H13" s="54">
        <v>118518.1941990869</v>
      </c>
      <c r="I13" s="53">
        <f t="shared" si="1"/>
        <v>70910.11654817517</v>
      </c>
      <c r="J13" s="55"/>
      <c r="K13" s="85">
        <v>70910.11654817517</v>
      </c>
      <c r="L13" s="7"/>
      <c r="M13" s="5"/>
    </row>
    <row r="14" spans="2:13" ht="12.75">
      <c r="B14" s="82">
        <v>1997</v>
      </c>
      <c r="C14" s="83">
        <f>SUM(D14:E14)</f>
        <v>1019537.5366169369</v>
      </c>
      <c r="D14" s="55">
        <v>739882.0685993778</v>
      </c>
      <c r="E14" s="54">
        <v>279655.46801755915</v>
      </c>
      <c r="F14" s="128">
        <f t="shared" si="0"/>
        <v>859351.6795904302</v>
      </c>
      <c r="G14" s="55">
        <v>739882.0685993778</v>
      </c>
      <c r="H14" s="54">
        <v>119469.61099105242</v>
      </c>
      <c r="I14" s="53">
        <f t="shared" si="1"/>
        <v>160185.8570265067</v>
      </c>
      <c r="J14" s="55"/>
      <c r="K14" s="85">
        <v>160185.8570265067</v>
      </c>
      <c r="L14" s="7"/>
      <c r="M14" s="5"/>
    </row>
    <row r="15" spans="2:13" ht="12.75">
      <c r="B15" s="82">
        <v>1998</v>
      </c>
      <c r="C15" s="83">
        <f aca="true" t="shared" si="2" ref="C15:C21">SUM(D15:E15)</f>
        <v>988144.9705452514</v>
      </c>
      <c r="D15" s="55">
        <v>678887.1489557544</v>
      </c>
      <c r="E15" s="54">
        <v>309257.8215894971</v>
      </c>
      <c r="F15" s="128">
        <f t="shared" si="0"/>
        <v>786060.9996556386</v>
      </c>
      <c r="G15" s="55">
        <v>678887.1489557544</v>
      </c>
      <c r="H15" s="54">
        <v>107173.85069988419</v>
      </c>
      <c r="I15" s="53">
        <f t="shared" si="1"/>
        <v>202083.9708896129</v>
      </c>
      <c r="J15" s="55"/>
      <c r="K15" s="85">
        <v>202083.9708896129</v>
      </c>
      <c r="L15" s="7"/>
      <c r="M15" s="5"/>
    </row>
    <row r="16" spans="2:13" ht="12.75">
      <c r="B16" s="82">
        <v>1999</v>
      </c>
      <c r="C16" s="83">
        <f t="shared" si="2"/>
        <v>991959.3682667302</v>
      </c>
      <c r="D16" s="55">
        <v>670509.978649152</v>
      </c>
      <c r="E16" s="54">
        <v>321449.38961757824</v>
      </c>
      <c r="F16" s="128">
        <f t="shared" si="0"/>
        <v>778389.1398539399</v>
      </c>
      <c r="G16" s="55">
        <v>670509.978649152</v>
      </c>
      <c r="H16" s="54">
        <v>107879.16120478789</v>
      </c>
      <c r="I16" s="53">
        <f t="shared" si="1"/>
        <v>213570.22841279037</v>
      </c>
      <c r="J16" s="55"/>
      <c r="K16" s="85">
        <v>213570.22841279037</v>
      </c>
      <c r="L16" s="7"/>
      <c r="M16" s="5"/>
    </row>
    <row r="17" spans="2:13" ht="12.75">
      <c r="B17" s="82">
        <v>2000</v>
      </c>
      <c r="C17" s="83">
        <f t="shared" si="2"/>
        <v>1113069.5002683792</v>
      </c>
      <c r="D17" s="55">
        <v>740329.4393599222</v>
      </c>
      <c r="E17" s="54">
        <v>372740.06090845715</v>
      </c>
      <c r="F17" s="128">
        <f t="shared" si="0"/>
        <v>866072.136728225</v>
      </c>
      <c r="G17" s="55">
        <v>740329.4393599222</v>
      </c>
      <c r="H17" s="54">
        <v>125742.6973683028</v>
      </c>
      <c r="I17" s="53">
        <f t="shared" si="1"/>
        <v>246997.36354015436</v>
      </c>
      <c r="J17" s="55"/>
      <c r="K17" s="85">
        <v>246997.36354015436</v>
      </c>
      <c r="L17" s="7"/>
      <c r="M17" s="5"/>
    </row>
    <row r="18" spans="2:13" ht="12.75">
      <c r="B18" s="82">
        <v>2001</v>
      </c>
      <c r="C18" s="83">
        <f>SUM(D18:E18)</f>
        <v>1139358.5138385482</v>
      </c>
      <c r="D18" s="55">
        <v>761192.0579289157</v>
      </c>
      <c r="E18" s="54">
        <v>378166.4559096325</v>
      </c>
      <c r="F18" s="128">
        <f>SUM(G18:H18)</f>
        <v>862632.2836858832</v>
      </c>
      <c r="G18" s="55">
        <v>761192.0579289157</v>
      </c>
      <c r="H18" s="54">
        <v>101440.22575696744</v>
      </c>
      <c r="I18" s="53">
        <f t="shared" si="1"/>
        <v>276726.23015266506</v>
      </c>
      <c r="J18" s="56"/>
      <c r="K18" s="85">
        <v>276726.23015266506</v>
      </c>
      <c r="L18" s="7"/>
      <c r="M18" s="5"/>
    </row>
    <row r="19" spans="2:12" ht="12.75">
      <c r="B19" s="82">
        <v>2002</v>
      </c>
      <c r="C19" s="83">
        <f t="shared" si="2"/>
        <v>1157067.1602677335</v>
      </c>
      <c r="D19" s="55">
        <v>764543.090328428</v>
      </c>
      <c r="E19" s="54">
        <v>392524.0699393055</v>
      </c>
      <c r="F19" s="128">
        <f t="shared" si="0"/>
        <v>862228.1175744301</v>
      </c>
      <c r="G19" s="55">
        <v>764543.090328428</v>
      </c>
      <c r="H19" s="54">
        <v>97685.02724600217</v>
      </c>
      <c r="I19" s="53">
        <f t="shared" si="1"/>
        <v>294839.0426933033</v>
      </c>
      <c r="J19" s="56"/>
      <c r="K19" s="85">
        <v>294839.0426933033</v>
      </c>
      <c r="L19" s="7"/>
    </row>
    <row r="20" spans="2:12" ht="12.75">
      <c r="B20" s="82">
        <v>2003</v>
      </c>
      <c r="C20" s="83">
        <f>SUM(D20:E20)</f>
        <v>1217210.1436706816</v>
      </c>
      <c r="D20" s="55">
        <v>811107.1463979532</v>
      </c>
      <c r="E20" s="54">
        <v>406102.9972727285</v>
      </c>
      <c r="F20" s="128">
        <f>SUM(G20:H20)</f>
        <v>901096.172415453</v>
      </c>
      <c r="G20" s="55">
        <v>811107.1463979532</v>
      </c>
      <c r="H20" s="54">
        <v>89989.02601749991</v>
      </c>
      <c r="I20" s="53">
        <f>SUM(J20:K20)</f>
        <v>316113.97125522856</v>
      </c>
      <c r="J20" s="56"/>
      <c r="K20" s="85">
        <v>316113.97125522856</v>
      </c>
      <c r="L20" s="7"/>
    </row>
    <row r="21" spans="2:12" ht="12.75">
      <c r="B21" s="82">
        <v>2004</v>
      </c>
      <c r="C21" s="83">
        <f t="shared" si="2"/>
        <v>1382300.0118101076</v>
      </c>
      <c r="D21" s="55">
        <v>897997.7068505394</v>
      </c>
      <c r="E21" s="54">
        <v>484302.3049595683</v>
      </c>
      <c r="F21" s="128">
        <f t="shared" si="0"/>
        <v>986870.1176782872</v>
      </c>
      <c r="G21" s="55">
        <v>897997.7068505394</v>
      </c>
      <c r="H21" s="54">
        <v>88872.41082774772</v>
      </c>
      <c r="I21" s="53">
        <f t="shared" si="1"/>
        <v>395429.8941318206</v>
      </c>
      <c r="J21" s="56"/>
      <c r="K21" s="85">
        <v>395429.8941318206</v>
      </c>
      <c r="L21" s="7"/>
    </row>
    <row r="22" spans="2:12" ht="12.75">
      <c r="B22" s="82">
        <v>2005</v>
      </c>
      <c r="C22" s="83">
        <f aca="true" t="shared" si="3" ref="C22:C28">SUM(D22:E22)</f>
        <v>1579209.27109638</v>
      </c>
      <c r="D22" s="55">
        <v>1048137.0214944701</v>
      </c>
      <c r="E22" s="54">
        <v>531072.24960191</v>
      </c>
      <c r="F22" s="128">
        <f aca="true" t="shared" si="4" ref="F22:F28">SUM(G22:H22)</f>
        <v>1147775.8928376874</v>
      </c>
      <c r="G22" s="55">
        <v>1048137.0214944701</v>
      </c>
      <c r="H22" s="54">
        <v>99638.87134321743</v>
      </c>
      <c r="I22" s="53">
        <f aca="true" t="shared" si="5" ref="I22:I28">SUM(J22:K22)</f>
        <v>431433.3782586926</v>
      </c>
      <c r="J22" s="56"/>
      <c r="K22" s="85">
        <v>431433.3782586926</v>
      </c>
      <c r="L22" s="7"/>
    </row>
    <row r="23" spans="2:12" ht="12.75">
      <c r="B23" s="82">
        <v>2006</v>
      </c>
      <c r="C23" s="83">
        <f t="shared" si="3"/>
        <v>1683168.9043059072</v>
      </c>
      <c r="D23" s="55">
        <v>1120521.0639498956</v>
      </c>
      <c r="E23" s="54">
        <v>562647.8403560116</v>
      </c>
      <c r="F23" s="128">
        <f t="shared" si="4"/>
        <v>1222413.6377595204</v>
      </c>
      <c r="G23" s="55">
        <v>1120521.0639498956</v>
      </c>
      <c r="H23" s="54">
        <v>101892.57380962497</v>
      </c>
      <c r="I23" s="53">
        <f t="shared" si="5"/>
        <v>460755.2665463867</v>
      </c>
      <c r="J23" s="56"/>
      <c r="K23" s="85">
        <v>460755.2665463867</v>
      </c>
      <c r="L23" s="7"/>
    </row>
    <row r="24" spans="2:12" ht="12.75">
      <c r="B24" s="82">
        <v>2007</v>
      </c>
      <c r="C24" s="83">
        <f t="shared" si="3"/>
        <v>1830631.6634342424</v>
      </c>
      <c r="D24" s="55">
        <v>1213689.4778540342</v>
      </c>
      <c r="E24" s="54">
        <v>616942.1855802081</v>
      </c>
      <c r="F24" s="128">
        <f t="shared" si="4"/>
        <v>1305447.8754961956</v>
      </c>
      <c r="G24" s="55">
        <v>1213689.4778540342</v>
      </c>
      <c r="H24" s="54">
        <v>91758.39764216138</v>
      </c>
      <c r="I24" s="53">
        <f t="shared" si="5"/>
        <v>525183.7879380467</v>
      </c>
      <c r="J24" s="56"/>
      <c r="K24" s="85">
        <v>525183.7879380467</v>
      </c>
      <c r="L24" s="7"/>
    </row>
    <row r="25" spans="2:12" ht="12.75">
      <c r="B25" s="82">
        <v>2008</v>
      </c>
      <c r="C25" s="83">
        <f t="shared" si="3"/>
        <v>2216099.9731833665</v>
      </c>
      <c r="D25" s="55">
        <v>1393393.8557439279</v>
      </c>
      <c r="E25" s="54">
        <v>822706.1174394387</v>
      </c>
      <c r="F25" s="128">
        <f t="shared" si="4"/>
        <v>1501002.7378177985</v>
      </c>
      <c r="G25" s="55">
        <v>1393393.8557439279</v>
      </c>
      <c r="H25" s="54">
        <v>107608.88207387061</v>
      </c>
      <c r="I25" s="53">
        <f t="shared" si="5"/>
        <v>715097.2353655681</v>
      </c>
      <c r="J25" s="56"/>
      <c r="K25" s="85">
        <v>715097.2353655681</v>
      </c>
      <c r="L25" s="7"/>
    </row>
    <row r="26" spans="2:12" ht="12.75">
      <c r="B26" s="82">
        <v>2009</v>
      </c>
      <c r="C26" s="83">
        <f t="shared" si="3"/>
        <v>2236058.1538174003</v>
      </c>
      <c r="D26" s="55">
        <v>1556915.7010486</v>
      </c>
      <c r="E26" s="54">
        <v>679142.4527688001</v>
      </c>
      <c r="F26" s="128">
        <f t="shared" si="4"/>
        <v>1675664.7528214</v>
      </c>
      <c r="G26" s="55">
        <v>1556915.7010486</v>
      </c>
      <c r="H26" s="54">
        <v>118749.05177280001</v>
      </c>
      <c r="I26" s="53">
        <f t="shared" si="5"/>
        <v>560393.400996</v>
      </c>
      <c r="J26" s="56"/>
      <c r="K26" s="85">
        <v>560393.400996</v>
      </c>
      <c r="L26" s="7"/>
    </row>
    <row r="27" spans="2:12" ht="12.75">
      <c r="B27" s="82">
        <v>2010</v>
      </c>
      <c r="C27" s="83">
        <f t="shared" si="3"/>
        <v>2448535.028202959</v>
      </c>
      <c r="D27" s="55">
        <v>1718589.3030064055</v>
      </c>
      <c r="E27" s="54">
        <v>729945.7251965533</v>
      </c>
      <c r="F27" s="128">
        <f>SUM(G27:H27)</f>
        <v>1841104.1163105767</v>
      </c>
      <c r="G27" s="55">
        <v>1718589.3030064055</v>
      </c>
      <c r="H27" s="54">
        <v>122514.81330417127</v>
      </c>
      <c r="I27" s="53">
        <f t="shared" si="5"/>
        <v>607430.911892382</v>
      </c>
      <c r="J27" s="56"/>
      <c r="K27" s="85">
        <v>607430.911892382</v>
      </c>
      <c r="L27" s="7"/>
    </row>
    <row r="28" spans="2:12" ht="12.75">
      <c r="B28" s="82">
        <v>2011</v>
      </c>
      <c r="C28" s="83">
        <f t="shared" si="3"/>
        <v>2860197.8493527016</v>
      </c>
      <c r="D28" s="55">
        <v>1984208.7097990871</v>
      </c>
      <c r="E28" s="54">
        <v>875989.1395536145</v>
      </c>
      <c r="F28" s="128">
        <f t="shared" si="4"/>
        <v>2130282.0365319736</v>
      </c>
      <c r="G28" s="55">
        <v>1984208.7097990871</v>
      </c>
      <c r="H28" s="54">
        <v>146073.32673288663</v>
      </c>
      <c r="I28" s="55">
        <f t="shared" si="5"/>
        <v>729915.8128207279</v>
      </c>
      <c r="J28" s="235"/>
      <c r="K28" s="84">
        <v>729915.8128207279</v>
      </c>
      <c r="L28" s="7"/>
    </row>
    <row r="29" spans="2:12" ht="13.5" thickBot="1">
      <c r="B29" s="823">
        <v>2012</v>
      </c>
      <c r="C29" s="83">
        <v>3345971.058322062</v>
      </c>
      <c r="D29" s="55">
        <v>2313306.9810517775</v>
      </c>
      <c r="E29" s="54">
        <v>1032664.0772702845</v>
      </c>
      <c r="F29" s="128">
        <v>2484843.3656458897</v>
      </c>
      <c r="G29" s="55">
        <v>2313306.9810517775</v>
      </c>
      <c r="H29" s="54">
        <v>171536.384594112</v>
      </c>
      <c r="I29" s="55">
        <v>861127.6926761726</v>
      </c>
      <c r="J29" s="235"/>
      <c r="K29" s="84">
        <v>861127.6926761726</v>
      </c>
      <c r="L29" s="7"/>
    </row>
    <row r="30" spans="2:11" ht="12.75">
      <c r="B30" s="280" t="s">
        <v>109</v>
      </c>
      <c r="C30" s="163">
        <f>(C29/C28)-1</f>
        <v>0.16983902322676614</v>
      </c>
      <c r="D30" s="163">
        <f aca="true" t="shared" si="6" ref="D30:I30">(D29/D28)-1</f>
        <v>0.16585869703495737</v>
      </c>
      <c r="E30" s="163">
        <f t="shared" si="6"/>
        <v>0.17885488602804855</v>
      </c>
      <c r="F30" s="163">
        <f t="shared" si="6"/>
        <v>0.1664386794957582</v>
      </c>
      <c r="G30" s="163">
        <f t="shared" si="6"/>
        <v>0.16585869703495737</v>
      </c>
      <c r="H30" s="163">
        <f t="shared" si="6"/>
        <v>0.1743169573168395</v>
      </c>
      <c r="I30" s="578">
        <f t="shared" si="6"/>
        <v>0.1797630323261281</v>
      </c>
      <c r="J30" s="185"/>
      <c r="K30" s="237">
        <f>(K29/K28)-1</f>
        <v>0.1797630323261281</v>
      </c>
    </row>
    <row r="31" spans="2:11" ht="12.75">
      <c r="B31" s="206" t="s">
        <v>110</v>
      </c>
      <c r="C31" s="156">
        <f>((C29/C24)^(1/5))-1</f>
        <v>0.12819518546253028</v>
      </c>
      <c r="D31" s="129">
        <f aca="true" t="shared" si="7" ref="D31:I31">((D29/D24)^(1/5))-1</f>
        <v>0.137693131925543</v>
      </c>
      <c r="E31" s="129">
        <f t="shared" si="7"/>
        <v>0.10851843614830758</v>
      </c>
      <c r="F31" s="129">
        <f t="shared" si="7"/>
        <v>0.13738604752399497</v>
      </c>
      <c r="G31" s="129">
        <f t="shared" si="7"/>
        <v>0.137693131925543</v>
      </c>
      <c r="H31" s="129">
        <f t="shared" si="7"/>
        <v>0.13329268688558482</v>
      </c>
      <c r="I31" s="579">
        <f t="shared" si="7"/>
        <v>0.10395469011331482</v>
      </c>
      <c r="J31" s="186"/>
      <c r="K31" s="174">
        <f>((K29/K24)^(1/5))-1</f>
        <v>0.10395469011331482</v>
      </c>
    </row>
    <row r="32" spans="2:12" ht="12.75">
      <c r="B32" s="282" t="s">
        <v>111</v>
      </c>
      <c r="C32" s="165">
        <f>+C29/C17-1</f>
        <v>2.006075593226922</v>
      </c>
      <c r="D32" s="165">
        <f aca="true" t="shared" si="8" ref="D32:I32">+D29/D17-1</f>
        <v>2.124699435229576</v>
      </c>
      <c r="E32" s="165">
        <f t="shared" si="8"/>
        <v>1.7704671044841112</v>
      </c>
      <c r="F32" s="165">
        <f t="shared" si="8"/>
        <v>1.86909514839367</v>
      </c>
      <c r="G32" s="165">
        <f t="shared" si="8"/>
        <v>2.124699435229576</v>
      </c>
      <c r="H32" s="165">
        <f t="shared" si="8"/>
        <v>0.36418565995668595</v>
      </c>
      <c r="I32" s="171">
        <f t="shared" si="8"/>
        <v>2.486384147319771</v>
      </c>
      <c r="J32" s="187"/>
      <c r="K32" s="162">
        <f>+K29/K17-1</f>
        <v>2.486384147319771</v>
      </c>
      <c r="L32" s="184"/>
    </row>
    <row r="33" spans="2:12" ht="13.5" thickBot="1">
      <c r="B33" s="497" t="s">
        <v>112</v>
      </c>
      <c r="C33" s="164">
        <f>((C29/C17)^(1/12))-1</f>
        <v>0.0960574662617304</v>
      </c>
      <c r="D33" s="238">
        <f aca="true" t="shared" si="9" ref="D33:I33">((D29/D17)^(1/12))-1</f>
        <v>0.09959820125093333</v>
      </c>
      <c r="E33" s="238">
        <f t="shared" si="9"/>
        <v>0.08862778973135432</v>
      </c>
      <c r="F33" s="238">
        <f t="shared" si="9"/>
        <v>0.09180583899558425</v>
      </c>
      <c r="G33" s="238">
        <f t="shared" si="9"/>
        <v>0.09959820125093333</v>
      </c>
      <c r="H33" s="238">
        <f t="shared" si="9"/>
        <v>0.026217595221049272</v>
      </c>
      <c r="I33" s="498">
        <f t="shared" si="9"/>
        <v>0.10968045427696471</v>
      </c>
      <c r="J33" s="187"/>
      <c r="K33" s="217">
        <f>((K29/K17)^(1/12))-1</f>
        <v>0.10968045427696471</v>
      </c>
      <c r="L33" s="184"/>
    </row>
    <row r="34" spans="2:3" ht="12.75">
      <c r="B34" s="8"/>
      <c r="C34" s="108"/>
    </row>
    <row r="35" ht="12.75">
      <c r="B35" s="102"/>
    </row>
    <row r="39" spans="14:16" ht="12.75">
      <c r="N39" s="158"/>
      <c r="O39" s="3" t="s">
        <v>8</v>
      </c>
      <c r="P39" s="3" t="s">
        <v>9</v>
      </c>
    </row>
    <row r="40" spans="14:16" ht="12.75">
      <c r="N40" s="159">
        <v>1995</v>
      </c>
      <c r="O40" s="160">
        <v>652594.7050503913</v>
      </c>
      <c r="P40" s="160">
        <v>174081.29663935103</v>
      </c>
    </row>
    <row r="41" spans="14:16" ht="12.75">
      <c r="N41" s="159">
        <v>1996</v>
      </c>
      <c r="O41" s="160">
        <v>703942.0843935553</v>
      </c>
      <c r="P41" s="160">
        <v>189428.31074726206</v>
      </c>
    </row>
    <row r="42" spans="14:16" ht="12.75">
      <c r="N42" s="159">
        <v>1997</v>
      </c>
      <c r="O42" s="160">
        <v>739882.0685993778</v>
      </c>
      <c r="P42" s="160">
        <v>279655.46801755915</v>
      </c>
    </row>
    <row r="43" spans="14:16" ht="12.75">
      <c r="N43" s="159">
        <v>1998</v>
      </c>
      <c r="O43" s="160">
        <v>678887.1489557544</v>
      </c>
      <c r="P43" s="160">
        <v>309257.8215894971</v>
      </c>
    </row>
    <row r="44" spans="14:16" ht="12.75">
      <c r="N44" s="159">
        <v>1999</v>
      </c>
      <c r="O44" s="160">
        <v>670509.978649152</v>
      </c>
      <c r="P44" s="160">
        <v>321449.38961757824</v>
      </c>
    </row>
    <row r="45" spans="14:16" ht="12.75">
      <c r="N45" s="159">
        <v>2000</v>
      </c>
      <c r="O45" s="160">
        <v>740329.4393599222</v>
      </c>
      <c r="P45" s="160">
        <v>372740.06090845715</v>
      </c>
    </row>
    <row r="46" spans="14:16" ht="12.75">
      <c r="N46" s="159">
        <v>2001</v>
      </c>
      <c r="O46" s="160">
        <v>761192.0579289157</v>
      </c>
      <c r="P46" s="160">
        <v>378166.4559096325</v>
      </c>
    </row>
    <row r="47" spans="14:16" ht="12.75">
      <c r="N47" s="159">
        <v>2002</v>
      </c>
      <c r="O47" s="160">
        <v>764543.090328428</v>
      </c>
      <c r="P47" s="160">
        <v>392524.0699393055</v>
      </c>
    </row>
    <row r="48" spans="14:16" ht="12.75">
      <c r="N48" s="159">
        <v>2003</v>
      </c>
      <c r="O48" s="160">
        <v>811107.1463979532</v>
      </c>
      <c r="P48" s="160">
        <v>406102.9972727285</v>
      </c>
    </row>
    <row r="49" spans="14:16" ht="12.75">
      <c r="N49" s="159">
        <v>2004</v>
      </c>
      <c r="O49" s="160">
        <v>897997.7068505394</v>
      </c>
      <c r="P49" s="160">
        <v>484302.3049595683</v>
      </c>
    </row>
    <row r="50" spans="14:16" ht="12.75">
      <c r="N50" s="159">
        <v>2005</v>
      </c>
      <c r="O50" s="160">
        <v>1048137.0214944701</v>
      </c>
      <c r="P50" s="160">
        <v>531072.24960191</v>
      </c>
    </row>
    <row r="51" spans="14:16" ht="12.75">
      <c r="N51" s="159">
        <v>2006</v>
      </c>
      <c r="O51" s="160">
        <v>1120521.0639498956</v>
      </c>
      <c r="P51" s="160">
        <v>562647.8403560116</v>
      </c>
    </row>
    <row r="52" spans="14:16" ht="12.75">
      <c r="N52" s="159">
        <v>2007</v>
      </c>
      <c r="O52" s="160">
        <v>1213689.4778540342</v>
      </c>
      <c r="P52" s="160">
        <v>616942.1855802081</v>
      </c>
    </row>
    <row r="53" spans="14:16" ht="12.75">
      <c r="N53" s="159">
        <v>2008</v>
      </c>
      <c r="O53" s="160">
        <v>1393393.8557439279</v>
      </c>
      <c r="P53" s="160">
        <v>822706.1174394387</v>
      </c>
    </row>
    <row r="54" spans="14:16" ht="12.75">
      <c r="N54" s="159">
        <v>2009</v>
      </c>
      <c r="O54" s="160">
        <v>1556915.7010486</v>
      </c>
      <c r="P54" s="160">
        <v>679142.4527688001</v>
      </c>
    </row>
    <row r="55" spans="14:16" ht="12.75">
      <c r="N55" s="159">
        <v>2010</v>
      </c>
      <c r="O55" s="160">
        <v>1718589.3030064055</v>
      </c>
      <c r="P55" s="160">
        <v>729945.7251965533</v>
      </c>
    </row>
    <row r="56" spans="14:16" ht="12.75">
      <c r="N56" s="159">
        <v>2011</v>
      </c>
      <c r="O56" s="160">
        <v>1984208.7097990871</v>
      </c>
      <c r="P56" s="160">
        <v>875989.1395536145</v>
      </c>
    </row>
    <row r="57" spans="14:16" ht="12.75">
      <c r="N57" s="159">
        <v>2012</v>
      </c>
      <c r="O57" s="160">
        <f>D29</f>
        <v>2313306.9810517775</v>
      </c>
      <c r="P57" s="160">
        <f>E29</f>
        <v>1032664.0772702845</v>
      </c>
    </row>
    <row r="63" spans="14:16" ht="12.75">
      <c r="N63" s="158"/>
      <c r="O63" s="172" t="s">
        <v>10</v>
      </c>
      <c r="P63" s="172" t="s">
        <v>11</v>
      </c>
    </row>
    <row r="64" spans="14:16" ht="12.75">
      <c r="N64" s="159">
        <v>1995</v>
      </c>
      <c r="O64" s="160">
        <v>776779.1913939897</v>
      </c>
      <c r="P64" s="160">
        <v>49896.81029575256</v>
      </c>
    </row>
    <row r="65" spans="14:16" ht="12.75">
      <c r="N65" s="159">
        <v>1996</v>
      </c>
      <c r="O65" s="160">
        <v>822460.2785926422</v>
      </c>
      <c r="P65" s="160">
        <v>70910.11654817517</v>
      </c>
    </row>
    <row r="66" spans="14:16" ht="12.75">
      <c r="N66" s="159">
        <v>1997</v>
      </c>
      <c r="O66" s="160">
        <v>859351.6795904302</v>
      </c>
      <c r="P66" s="160">
        <v>160185.8570265067</v>
      </c>
    </row>
    <row r="67" spans="14:16" ht="12.75">
      <c r="N67" s="159">
        <v>1998</v>
      </c>
      <c r="O67" s="160">
        <v>786060.9996556386</v>
      </c>
      <c r="P67" s="160">
        <v>202083.9708896129</v>
      </c>
    </row>
    <row r="68" spans="14:16" ht="12.75">
      <c r="N68" s="159">
        <v>1999</v>
      </c>
      <c r="O68" s="160">
        <v>778389.1398539399</v>
      </c>
      <c r="P68" s="160">
        <v>213570.22841279037</v>
      </c>
    </row>
    <row r="69" spans="14:16" ht="12.75">
      <c r="N69" s="159">
        <v>2000</v>
      </c>
      <c r="O69" s="160">
        <v>866072.136728225</v>
      </c>
      <c r="P69" s="160">
        <v>246997.36354015436</v>
      </c>
    </row>
    <row r="70" spans="14:16" ht="12.75">
      <c r="N70" s="159">
        <v>2001</v>
      </c>
      <c r="O70" s="160">
        <v>862632.2836858832</v>
      </c>
      <c r="P70" s="160">
        <v>276726.23015266506</v>
      </c>
    </row>
    <row r="71" spans="14:16" ht="12.75">
      <c r="N71" s="159">
        <v>2002</v>
      </c>
      <c r="O71" s="160">
        <v>862228.1175744301</v>
      </c>
      <c r="P71" s="160">
        <v>294839.0426933033</v>
      </c>
    </row>
    <row r="72" spans="14:16" ht="12.75">
      <c r="N72" s="159">
        <v>2003</v>
      </c>
      <c r="O72" s="160">
        <v>901096.172415453</v>
      </c>
      <c r="P72" s="160">
        <v>316113.97125522856</v>
      </c>
    </row>
    <row r="73" spans="14:16" ht="12.75">
      <c r="N73" s="159">
        <v>2004</v>
      </c>
      <c r="O73" s="160">
        <v>986870.1176782872</v>
      </c>
      <c r="P73" s="160">
        <v>395429.8941318206</v>
      </c>
    </row>
    <row r="74" spans="14:16" ht="12.75">
      <c r="N74" s="159">
        <v>2005</v>
      </c>
      <c r="O74" s="160">
        <v>1147775.8928376874</v>
      </c>
      <c r="P74" s="160">
        <v>431433.3782586926</v>
      </c>
    </row>
    <row r="75" spans="14:16" ht="12.75">
      <c r="N75" s="159">
        <v>2006</v>
      </c>
      <c r="O75" s="160">
        <v>1222413.6377595204</v>
      </c>
      <c r="P75" s="160">
        <v>460755.2665463867</v>
      </c>
    </row>
    <row r="76" spans="14:16" ht="12.75">
      <c r="N76" s="159">
        <v>2007</v>
      </c>
      <c r="O76" s="160">
        <v>1305447.8754961956</v>
      </c>
      <c r="P76" s="160">
        <v>525183.7879380467</v>
      </c>
    </row>
    <row r="77" spans="14:16" ht="12.75">
      <c r="N77" s="159">
        <v>2008</v>
      </c>
      <c r="O77" s="160">
        <v>1501002.7378177985</v>
      </c>
      <c r="P77" s="160">
        <v>715097.2353655681</v>
      </c>
    </row>
    <row r="78" spans="14:16" ht="12.75">
      <c r="N78" s="159">
        <v>2009</v>
      </c>
      <c r="O78" s="160">
        <v>1675664.7528214</v>
      </c>
      <c r="P78" s="160">
        <v>560393.400996</v>
      </c>
    </row>
    <row r="79" spans="14:16" ht="12.75">
      <c r="N79" s="159">
        <v>2010</v>
      </c>
      <c r="O79" s="160">
        <v>1841104.1163105767</v>
      </c>
      <c r="P79" s="160">
        <v>607430.911892382</v>
      </c>
    </row>
    <row r="80" spans="14:16" ht="12.75">
      <c r="N80" s="159">
        <v>2011</v>
      </c>
      <c r="O80" s="160">
        <v>2130282.0365319736</v>
      </c>
      <c r="P80" s="160">
        <v>729915.8128207279</v>
      </c>
    </row>
    <row r="81" spans="14:16" ht="12.75">
      <c r="N81" s="159">
        <v>2012</v>
      </c>
      <c r="O81" s="160">
        <f>F29</f>
        <v>2484843.3656458897</v>
      </c>
      <c r="P81" s="160">
        <f>I29</f>
        <v>861127.6926761726</v>
      </c>
    </row>
  </sheetData>
  <sheetProtection/>
  <mergeCells count="4">
    <mergeCell ref="B9:B10"/>
    <mergeCell ref="C9:E9"/>
    <mergeCell ref="F9:H9"/>
    <mergeCell ref="I9:K9"/>
  </mergeCells>
  <printOptions horizontalCentered="1" verticalCentered="1"/>
  <pageMargins left="0.76" right="0.44" top="1" bottom="1" header="0" footer="0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0"/>
  <sheetViews>
    <sheetView view="pageBreakPreview" zoomScaleNormal="75" zoomScaleSheetLayoutView="100" zoomScalePageLayoutView="0" workbookViewId="0" topLeftCell="A13">
      <selection activeCell="C36" sqref="C36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9" max="19" width="11.8515625" style="0" bestFit="1" customWidth="1"/>
    <col min="20" max="22" width="12.8515625" style="0" bestFit="1" customWidth="1"/>
  </cols>
  <sheetData>
    <row r="6" ht="18">
      <c r="A6" s="9" t="s">
        <v>91</v>
      </c>
    </row>
    <row r="8" spans="3:11" ht="15">
      <c r="C8" s="1"/>
      <c r="D8" s="1"/>
      <c r="E8" s="1"/>
      <c r="F8" s="1"/>
      <c r="G8" s="1"/>
      <c r="H8" s="2"/>
      <c r="I8" s="2"/>
      <c r="J8" s="2"/>
      <c r="K8" s="2"/>
    </row>
    <row r="10" spans="2:11" ht="12.75">
      <c r="B10" s="921" t="s">
        <v>18</v>
      </c>
      <c r="C10" s="923" t="s">
        <v>57</v>
      </c>
      <c r="D10" s="924"/>
      <c r="E10" s="924"/>
      <c r="F10" s="923" t="s">
        <v>10</v>
      </c>
      <c r="G10" s="924"/>
      <c r="H10" s="924"/>
      <c r="I10" s="925" t="s">
        <v>11</v>
      </c>
      <c r="J10" s="924"/>
      <c r="K10" s="926"/>
    </row>
    <row r="11" spans="2:11" ht="12.75">
      <c r="B11" s="922"/>
      <c r="C11" s="580" t="s">
        <v>0</v>
      </c>
      <c r="D11" s="581" t="s">
        <v>16</v>
      </c>
      <c r="E11" s="582" t="s">
        <v>17</v>
      </c>
      <c r="F11" s="583" t="s">
        <v>12</v>
      </c>
      <c r="G11" s="584" t="s">
        <v>16</v>
      </c>
      <c r="H11" s="582" t="s">
        <v>17</v>
      </c>
      <c r="I11" s="585" t="s">
        <v>0</v>
      </c>
      <c r="J11" s="581" t="s">
        <v>16</v>
      </c>
      <c r="K11" s="586" t="s">
        <v>17</v>
      </c>
    </row>
    <row r="12" spans="2:21" ht="12.75">
      <c r="B12" s="587"/>
      <c r="C12" s="588"/>
      <c r="D12" s="589"/>
      <c r="E12" s="590"/>
      <c r="F12" s="591"/>
      <c r="G12" s="592"/>
      <c r="H12" s="590"/>
      <c r="I12" s="593"/>
      <c r="J12" s="589"/>
      <c r="K12" s="594"/>
      <c r="O12" t="s">
        <v>8</v>
      </c>
      <c r="P12" t="s">
        <v>9</v>
      </c>
      <c r="U12" s="159">
        <v>2012</v>
      </c>
    </row>
    <row r="13" spans="2:22" ht="12.75">
      <c r="B13" s="494"/>
      <c r="C13" s="83"/>
      <c r="D13" s="57"/>
      <c r="E13" s="595"/>
      <c r="F13" s="596"/>
      <c r="G13" s="597"/>
      <c r="H13" s="595"/>
      <c r="I13" s="598"/>
      <c r="J13" s="57"/>
      <c r="K13" s="599"/>
      <c r="T13" t="s">
        <v>78</v>
      </c>
      <c r="U13" t="s">
        <v>16</v>
      </c>
      <c r="V13" t="s">
        <v>17</v>
      </c>
    </row>
    <row r="14" spans="2:22" ht="12.75">
      <c r="B14" s="600">
        <v>1995</v>
      </c>
      <c r="C14" s="601">
        <v>8.393283624126928</v>
      </c>
      <c r="D14" s="602">
        <f>G14</f>
        <v>10.148610371781364</v>
      </c>
      <c r="E14" s="603">
        <v>5.091776878835866</v>
      </c>
      <c r="F14" s="604">
        <f>'[4]desagregados'!B38</f>
        <v>8.955560685264611</v>
      </c>
      <c r="G14" s="605">
        <f>'[4]desagregados'!H38</f>
        <v>10.148610371781364</v>
      </c>
      <c r="H14" s="603">
        <f>'[4]desagregados'!C38</f>
        <v>5.535737559334477</v>
      </c>
      <c r="I14" s="606">
        <f>K14</f>
        <v>4.2445573090579085</v>
      </c>
      <c r="J14" s="602"/>
      <c r="K14" s="607">
        <f>'[4]desagregados'!B71</f>
        <v>4.2445573090579085</v>
      </c>
      <c r="L14" s="7"/>
      <c r="M14" s="26">
        <v>8.955560685264611</v>
      </c>
      <c r="N14">
        <v>1995</v>
      </c>
      <c r="O14" s="4">
        <v>10.148610371781364</v>
      </c>
      <c r="P14" s="4">
        <v>5.091776878835866</v>
      </c>
      <c r="S14" t="s">
        <v>79</v>
      </c>
      <c r="T14" s="618">
        <v>3345971.058322062</v>
      </c>
      <c r="U14" s="618">
        <v>2313306.9810517775</v>
      </c>
      <c r="V14" s="618">
        <v>1032664.0772702845</v>
      </c>
    </row>
    <row r="15" spans="2:22" ht="12.75">
      <c r="B15" s="608">
        <v>1996</v>
      </c>
      <c r="C15" s="609">
        <v>8.647606873247458</v>
      </c>
      <c r="D15" s="610">
        <f aca="true" t="shared" si="0" ref="D15:D29">G15</f>
        <v>10.37984664865154</v>
      </c>
      <c r="E15" s="611">
        <v>5.337476550474294</v>
      </c>
      <c r="F15" s="612">
        <f>'[4]desagregados'!B39</f>
        <v>9.377457321378525</v>
      </c>
      <c r="G15" s="613">
        <f>'[4]desagregados'!H39</f>
        <v>10.37984664865154</v>
      </c>
      <c r="H15" s="611">
        <f>'[4]desagregados'!C39</f>
        <v>5.959296987167691</v>
      </c>
      <c r="I15" s="614">
        <f aca="true" t="shared" si="1" ref="I15:I29">K15</f>
        <v>4.5448535324028105</v>
      </c>
      <c r="J15" s="610"/>
      <c r="K15" s="615">
        <f>'[4]desagregados'!B72</f>
        <v>4.5448535324028105</v>
      </c>
      <c r="L15" s="7"/>
      <c r="M15" s="26">
        <v>9.377457321378525</v>
      </c>
      <c r="N15">
        <v>1996</v>
      </c>
      <c r="O15" s="4">
        <v>10.37984664865154</v>
      </c>
      <c r="P15" s="4">
        <v>5.337476550474294</v>
      </c>
      <c r="S15" t="s">
        <v>80</v>
      </c>
      <c r="T15" s="618">
        <v>33646390.485999994</v>
      </c>
      <c r="U15" s="618">
        <v>18960374.490999997</v>
      </c>
      <c r="V15" s="618">
        <v>14686015.995</v>
      </c>
    </row>
    <row r="16" spans="2:22" ht="12.75">
      <c r="B16" s="600">
        <v>1997</v>
      </c>
      <c r="C16" s="601">
        <v>8.188247454393998</v>
      </c>
      <c r="D16" s="602">
        <f t="shared" si="0"/>
        <v>10.146978053246057</v>
      </c>
      <c r="E16" s="603">
        <v>5.42012003110907</v>
      </c>
      <c r="F16" s="604">
        <f>'[4]desagregados'!B40</f>
        <v>9.163588512282493</v>
      </c>
      <c r="G16" s="605">
        <f>'[4]desagregados'!H40</f>
        <v>10.146978053246057</v>
      </c>
      <c r="H16" s="603">
        <f>'[4]desagregados'!C40</f>
        <v>5.726537264889491</v>
      </c>
      <c r="I16" s="606">
        <f t="shared" si="1"/>
        <v>5.212117520815096</v>
      </c>
      <c r="J16" s="602"/>
      <c r="K16" s="607">
        <f>'[4]desagregados'!B73</f>
        <v>5.212117520815096</v>
      </c>
      <c r="L16" s="7"/>
      <c r="M16" s="26">
        <v>9.163588512282494</v>
      </c>
      <c r="N16">
        <v>1997</v>
      </c>
      <c r="O16" s="4">
        <v>10.146978053246059</v>
      </c>
      <c r="P16" s="4">
        <v>5.42012003110907</v>
      </c>
      <c r="T16" s="619">
        <v>9.944517108645858</v>
      </c>
      <c r="U16" s="619">
        <v>12.20074520231573</v>
      </c>
      <c r="V16" s="619">
        <v>7.031614820669304</v>
      </c>
    </row>
    <row r="17" spans="2:16" ht="12.75">
      <c r="B17" s="608">
        <v>1998</v>
      </c>
      <c r="C17" s="609">
        <v>7.053856955139542</v>
      </c>
      <c r="D17" s="610">
        <f t="shared" si="0"/>
        <v>8.753240333635766</v>
      </c>
      <c r="E17" s="611">
        <v>4.94595784965148</v>
      </c>
      <c r="F17" s="612">
        <f>'[4]desagregados'!B41</f>
        <v>7.957160935688618</v>
      </c>
      <c r="G17" s="613">
        <f>'[4]desagregados'!H41</f>
        <v>8.753240333635766</v>
      </c>
      <c r="H17" s="611">
        <f>'[4]desagregados'!C41</f>
        <v>5.048646397780676</v>
      </c>
      <c r="I17" s="614">
        <f t="shared" si="1"/>
        <v>4.8931747664703975</v>
      </c>
      <c r="J17" s="610"/>
      <c r="K17" s="615">
        <f>'[4]desagregados'!B74</f>
        <v>4.8931747664703975</v>
      </c>
      <c r="L17" s="7"/>
      <c r="M17" s="26">
        <v>7.957160935688618</v>
      </c>
      <c r="N17">
        <v>1998</v>
      </c>
      <c r="O17" s="4">
        <v>8.753240333635766</v>
      </c>
      <c r="P17" s="4">
        <v>4.94595784965148</v>
      </c>
    </row>
    <row r="18" spans="2:21" ht="12.75">
      <c r="B18" s="600">
        <v>1999</v>
      </c>
      <c r="C18" s="601">
        <v>6.797971094322021</v>
      </c>
      <c r="D18" s="602">
        <f t="shared" si="0"/>
        <v>8.306642636464446</v>
      </c>
      <c r="E18" s="603">
        <v>4.930191581893625</v>
      </c>
      <c r="F18" s="604">
        <f>'[4]desagregados'!B42</f>
        <v>7.632021028288909</v>
      </c>
      <c r="G18" s="605">
        <f>'[4]desagregados'!H42</f>
        <v>8.306642636464446</v>
      </c>
      <c r="H18" s="603">
        <f>'[4]desagregados'!C42</f>
        <v>5.071850676679181</v>
      </c>
      <c r="I18" s="606">
        <f t="shared" si="1"/>
        <v>4.861602607536183</v>
      </c>
      <c r="J18" s="602"/>
      <c r="K18" s="607">
        <f>'[4]desagregados'!B75</f>
        <v>4.861602607536183</v>
      </c>
      <c r="L18" s="7"/>
      <c r="M18" s="26">
        <v>7.632021028288909</v>
      </c>
      <c r="N18">
        <v>1999</v>
      </c>
      <c r="O18" s="4">
        <v>8.306642636464446</v>
      </c>
      <c r="P18" s="4">
        <v>4.930191581893625</v>
      </c>
      <c r="U18" s="159"/>
    </row>
    <row r="19" spans="2:16" ht="12.75">
      <c r="B19" s="608">
        <v>2000</v>
      </c>
      <c r="C19" s="609">
        <v>7.1600313284956645</v>
      </c>
      <c r="D19" s="610">
        <f t="shared" si="0"/>
        <v>8.806339535814676</v>
      </c>
      <c r="E19" s="611">
        <v>5.221314050501441</v>
      </c>
      <c r="F19" s="612">
        <f>'[4]desagregados'!B43</f>
        <v>8.0465527241033</v>
      </c>
      <c r="G19" s="613">
        <f>'[4]desagregados'!H43</f>
        <v>8.806339535814676</v>
      </c>
      <c r="H19" s="611">
        <f>'[4]desagregados'!C43</f>
        <v>5.3360143471179855</v>
      </c>
      <c r="I19" s="614">
        <f t="shared" si="1"/>
        <v>5.164795484263344</v>
      </c>
      <c r="J19" s="616"/>
      <c r="K19" s="615">
        <f>'[4]desagregados'!B76</f>
        <v>5.164795484263344</v>
      </c>
      <c r="L19" s="7"/>
      <c r="M19" s="26">
        <v>8.046552724103298</v>
      </c>
      <c r="N19">
        <v>2000</v>
      </c>
      <c r="O19" s="4">
        <v>8.806339535814676</v>
      </c>
      <c r="P19" s="4">
        <v>5.221314050501441</v>
      </c>
    </row>
    <row r="20" spans="2:22" ht="12.75">
      <c r="B20" s="600">
        <v>2001</v>
      </c>
      <c r="C20" s="601">
        <v>6.851718186751588</v>
      </c>
      <c r="D20" s="602">
        <f t="shared" si="0"/>
        <v>8.794973611182401</v>
      </c>
      <c r="E20" s="603">
        <v>4.742553278942958</v>
      </c>
      <c r="F20" s="604">
        <f>'[4]desagregados'!B44</f>
        <v>8.198076063917068</v>
      </c>
      <c r="G20" s="605">
        <f>'[4]desagregados'!H44</f>
        <v>8.794973611182401</v>
      </c>
      <c r="H20" s="603">
        <f>'[4]desagregados'!C44</f>
        <v>5.431810353536078</v>
      </c>
      <c r="I20" s="606">
        <f t="shared" si="1"/>
        <v>4.531755939031402</v>
      </c>
      <c r="J20" s="617"/>
      <c r="K20" s="607">
        <f>'[4]desagregados'!B77</f>
        <v>4.531755939031402</v>
      </c>
      <c r="L20" s="7"/>
      <c r="M20" s="26">
        <v>8.198076063917068</v>
      </c>
      <c r="N20">
        <v>2001</v>
      </c>
      <c r="O20" s="4">
        <v>8.79492608729062</v>
      </c>
      <c r="P20" s="4">
        <v>4.742553278942958</v>
      </c>
      <c r="T20" s="618"/>
      <c r="U20" s="618"/>
      <c r="V20" s="618"/>
    </row>
    <row r="21" spans="2:22" ht="12.75">
      <c r="B21" s="608">
        <v>2002</v>
      </c>
      <c r="C21" s="609">
        <v>6.572256406554834</v>
      </c>
      <c r="D21" s="610">
        <f t="shared" si="0"/>
        <v>8.290526011852268</v>
      </c>
      <c r="E21" s="611">
        <v>4.68213770720213</v>
      </c>
      <c r="F21" s="612">
        <f>'[4]desagregados'!B45</f>
        <v>7.758352080828165</v>
      </c>
      <c r="G21" s="613">
        <f>'[4]desagregados'!H45</f>
        <v>8.290526011852268</v>
      </c>
      <c r="H21" s="611">
        <f>'[4]desagregados'!C45</f>
        <v>5.163988884999389</v>
      </c>
      <c r="I21" s="614">
        <f t="shared" si="1"/>
        <v>4.541729686255704</v>
      </c>
      <c r="J21" s="616"/>
      <c r="K21" s="615">
        <f>'[4]desagregados'!B78</f>
        <v>4.541729686255704</v>
      </c>
      <c r="L21" s="7"/>
      <c r="M21" s="26">
        <v>7.758352080828168</v>
      </c>
      <c r="N21">
        <v>2002</v>
      </c>
      <c r="O21" s="4">
        <v>8.29052601185227</v>
      </c>
      <c r="P21" s="4">
        <v>4.68213770720213</v>
      </c>
      <c r="T21" s="618"/>
      <c r="U21" s="618"/>
      <c r="V21" s="618"/>
    </row>
    <row r="22" spans="2:22" ht="12.75">
      <c r="B22" s="600">
        <v>2003</v>
      </c>
      <c r="C22" s="601">
        <v>6.624151976068238</v>
      </c>
      <c r="D22" s="602">
        <f t="shared" si="0"/>
        <v>8.439546821933085</v>
      </c>
      <c r="E22" s="603">
        <v>4.633474888499332</v>
      </c>
      <c r="F22" s="604">
        <f>'[4]desagregados'!B46</f>
        <v>7.971753161907678</v>
      </c>
      <c r="G22" s="605">
        <f>'[4]desagregados'!H46</f>
        <v>8.439546821933085</v>
      </c>
      <c r="H22" s="603">
        <f>'[4]desagregados'!C46</f>
        <v>5.315913767730283</v>
      </c>
      <c r="I22" s="606">
        <f t="shared" si="1"/>
        <v>4.470113199324197</v>
      </c>
      <c r="J22" s="617"/>
      <c r="K22" s="607">
        <f>'[4]desagregados'!B79</f>
        <v>4.470113199324197</v>
      </c>
      <c r="L22" s="7"/>
      <c r="M22" s="26">
        <v>7.97175316190768</v>
      </c>
      <c r="N22">
        <v>2003</v>
      </c>
      <c r="O22" s="4">
        <v>8.439546821933085</v>
      </c>
      <c r="P22" s="4">
        <v>4.633474888499332</v>
      </c>
      <c r="T22" s="619"/>
      <c r="U22" s="619"/>
      <c r="V22" s="619"/>
    </row>
    <row r="23" spans="2:16" ht="12.75">
      <c r="B23" s="608">
        <v>2004</v>
      </c>
      <c r="C23" s="609">
        <v>7.037954108895671</v>
      </c>
      <c r="D23" s="610">
        <f t="shared" si="0"/>
        <v>8.674201605419087</v>
      </c>
      <c r="E23" s="611">
        <v>5.214201316426084</v>
      </c>
      <c r="F23" s="612">
        <f>'[4]desagregados'!B47</f>
        <v>8.22302317700895</v>
      </c>
      <c r="G23" s="613">
        <f>'[4]desagregados'!H47</f>
        <v>8.674201605419087</v>
      </c>
      <c r="H23" s="611">
        <f>'[4]desagregados'!C47</f>
        <v>5.3901465775055355</v>
      </c>
      <c r="I23" s="614">
        <f t="shared" si="1"/>
        <v>5.176227190061146</v>
      </c>
      <c r="J23" s="616"/>
      <c r="K23" s="615">
        <f>'[4]desagregados'!B80</f>
        <v>5.176227190061146</v>
      </c>
      <c r="L23" s="7"/>
      <c r="M23" s="26">
        <v>8.223023177008951</v>
      </c>
      <c r="N23">
        <v>2004</v>
      </c>
      <c r="O23" s="4">
        <v>8.67420160541909</v>
      </c>
      <c r="P23" s="4">
        <v>5.214201316426084</v>
      </c>
    </row>
    <row r="24" spans="2:21" ht="12.75">
      <c r="B24" s="600">
        <v>2005</v>
      </c>
      <c r="C24" s="601">
        <v>7.629517461367721</v>
      </c>
      <c r="D24" s="602">
        <f t="shared" si="0"/>
        <v>9.400777808861907</v>
      </c>
      <c r="E24" s="603">
        <v>5.561757922565469</v>
      </c>
      <c r="F24" s="604">
        <f>'[4]desagregados'!B48</f>
        <v>8.888491459581944</v>
      </c>
      <c r="G24" s="605">
        <f>'[4]desagregados'!H48</f>
        <v>9.400777808861907</v>
      </c>
      <c r="H24" s="603">
        <f>'[4]desagregados'!C48</f>
        <v>5.650701414642656</v>
      </c>
      <c r="I24" s="606">
        <f t="shared" si="1"/>
        <v>5.541607608090972</v>
      </c>
      <c r="J24" s="617"/>
      <c r="K24" s="607">
        <f>'[4]desagregados'!B81</f>
        <v>5.541607608090972</v>
      </c>
      <c r="L24" s="7"/>
      <c r="M24" s="26">
        <v>8.888491459581944</v>
      </c>
      <c r="N24">
        <v>2005</v>
      </c>
      <c r="O24" s="4">
        <v>9.400777808861907</v>
      </c>
      <c r="P24" s="4">
        <v>5.561757922565469</v>
      </c>
      <c r="U24" s="159"/>
    </row>
    <row r="25" spans="2:16" ht="12.75">
      <c r="B25" s="608">
        <v>2006</v>
      </c>
      <c r="C25" s="609">
        <v>7.5478896322436135</v>
      </c>
      <c r="D25" s="610">
        <f t="shared" si="0"/>
        <v>9.20541981902347</v>
      </c>
      <c r="E25" s="611">
        <v>5.55478195409213</v>
      </c>
      <c r="F25" s="612">
        <f>'[4]desagregados'!B49</f>
        <v>8.702584077848925</v>
      </c>
      <c r="G25" s="613">
        <f>'[4]desagregados'!H49</f>
        <v>9.20541981902347</v>
      </c>
      <c r="H25" s="611">
        <f>'[4]desagregados'!C49</f>
        <v>5.43744844190284</v>
      </c>
      <c r="I25" s="614">
        <f t="shared" si="1"/>
        <v>5.581447756240201</v>
      </c>
      <c r="J25" s="616"/>
      <c r="K25" s="615">
        <f>'[4]desagregados'!B82</f>
        <v>5.581447756240201</v>
      </c>
      <c r="L25" s="7"/>
      <c r="M25" s="26">
        <v>8.702584077848925</v>
      </c>
      <c r="N25">
        <v>2006</v>
      </c>
      <c r="O25" s="4">
        <v>9.20541981902347</v>
      </c>
      <c r="P25" s="4">
        <v>5.55478195409213</v>
      </c>
    </row>
    <row r="26" spans="2:22" ht="12.75">
      <c r="B26" s="600">
        <v>2007</v>
      </c>
      <c r="C26" s="601">
        <v>7.40494411028258</v>
      </c>
      <c r="D26" s="602">
        <f t="shared" si="0"/>
        <v>9.093906057369018</v>
      </c>
      <c r="E26" s="603">
        <v>5.423398620275471</v>
      </c>
      <c r="F26" s="604">
        <f>'[4]desagregados'!B50</f>
        <v>8.684354506431966</v>
      </c>
      <c r="G26" s="605">
        <f>'[4]desagregados'!H50</f>
        <v>9.093906057369018</v>
      </c>
      <c r="H26" s="603">
        <f>'[4]desagregados'!C50</f>
        <v>5.4423840053332935</v>
      </c>
      <c r="I26" s="606">
        <f t="shared" si="1"/>
        <v>5.420095140533965</v>
      </c>
      <c r="J26" s="617"/>
      <c r="K26" s="607">
        <f>'[4]desagregados'!B83</f>
        <v>5.420095140533965</v>
      </c>
      <c r="L26" s="7"/>
      <c r="M26" s="26">
        <v>8.684354506431966</v>
      </c>
      <c r="N26" s="27">
        <v>2007</v>
      </c>
      <c r="O26" s="4">
        <v>9.093906057369018</v>
      </c>
      <c r="P26" s="4">
        <v>5.423398620275471</v>
      </c>
      <c r="T26" s="618"/>
      <c r="U26" s="618"/>
      <c r="V26" s="618"/>
    </row>
    <row r="27" spans="2:22" ht="12.75">
      <c r="B27" s="608">
        <v>2008</v>
      </c>
      <c r="C27" s="609">
        <v>8.21860962452384</v>
      </c>
      <c r="D27" s="610">
        <f t="shared" si="0"/>
        <v>9.563809357904866</v>
      </c>
      <c r="E27" s="611">
        <v>6.63741891099464</v>
      </c>
      <c r="F27" s="612">
        <f>'[4]desagregados'!B51</f>
        <v>9.210201127006314</v>
      </c>
      <c r="G27" s="613">
        <f>'[4]desagregados'!H51</f>
        <v>9.563809357904866</v>
      </c>
      <c r="H27" s="611">
        <f>'[4]desagregados'!C51</f>
        <v>6.228330130971453</v>
      </c>
      <c r="I27" s="614">
        <f t="shared" si="1"/>
        <v>6.703677483775019</v>
      </c>
      <c r="J27" s="616"/>
      <c r="K27" s="615">
        <f>'[4]desagregados'!B84</f>
        <v>6.703677483775019</v>
      </c>
      <c r="L27" s="7"/>
      <c r="M27" s="26">
        <v>9.210201127006314</v>
      </c>
      <c r="N27" s="27">
        <v>2008</v>
      </c>
      <c r="O27" s="4">
        <v>9.563809357904866</v>
      </c>
      <c r="P27" s="4">
        <v>6.63741891099464</v>
      </c>
      <c r="T27" s="618"/>
      <c r="U27" s="618"/>
      <c r="V27" s="618"/>
    </row>
    <row r="28" spans="2:22" ht="12.75">
      <c r="B28" s="600">
        <v>2009</v>
      </c>
      <c r="C28" s="601">
        <v>8.255095348074532</v>
      </c>
      <c r="D28" s="602">
        <f t="shared" si="0"/>
        <v>10.220209425572106</v>
      </c>
      <c r="E28" s="603">
        <v>5.715580277610793</v>
      </c>
      <c r="F28" s="604">
        <f>'[4]desagregados'!B52</f>
        <v>9.834767034288422</v>
      </c>
      <c r="G28" s="605">
        <f>'[4]desagregados'!H52</f>
        <v>10.220209425572106</v>
      </c>
      <c r="H28" s="603">
        <f>'[4]desagregados'!C52</f>
        <v>6.573199512560988</v>
      </c>
      <c r="I28" s="606">
        <f t="shared" si="1"/>
        <v>5.653760327009893</v>
      </c>
      <c r="J28" s="617"/>
      <c r="K28" s="607">
        <f>'[4]desagregados'!B85</f>
        <v>5.653760327009893</v>
      </c>
      <c r="L28" s="7"/>
      <c r="M28" s="26">
        <v>9.856466421204773</v>
      </c>
      <c r="N28" s="27">
        <v>2009</v>
      </c>
      <c r="O28" s="4">
        <v>10.239697017523108</v>
      </c>
      <c r="P28" s="4">
        <v>5.715580277610793</v>
      </c>
      <c r="T28" s="619"/>
      <c r="U28" s="619"/>
      <c r="V28" s="619"/>
    </row>
    <row r="29" spans="2:16" ht="12.75">
      <c r="B29" s="608">
        <v>2010</v>
      </c>
      <c r="C29" s="609">
        <v>8.318115440910699</v>
      </c>
      <c r="D29" s="610">
        <f t="shared" si="0"/>
        <v>10.459527312900395</v>
      </c>
      <c r="E29" s="611">
        <v>5.612668273748845</v>
      </c>
      <c r="F29" s="612">
        <f>'[4]desagregados'!B53</f>
        <v>10.118555763056673</v>
      </c>
      <c r="G29" s="613">
        <f>'[4]desagregados'!H53</f>
        <v>10.459527312900395</v>
      </c>
      <c r="H29" s="611">
        <f>'[4]desagregados'!C53</f>
        <v>6.943416370742706</v>
      </c>
      <c r="I29" s="614">
        <f t="shared" si="1"/>
        <v>5.403780946168652</v>
      </c>
      <c r="J29" s="616"/>
      <c r="K29" s="615">
        <f>'[4]desagregados'!B86</f>
        <v>5.403780946168652</v>
      </c>
      <c r="L29" s="7"/>
      <c r="M29" s="26">
        <v>10.118555763056674</v>
      </c>
      <c r="N29" s="27">
        <v>2010</v>
      </c>
      <c r="O29" s="4">
        <v>10.459527312900397</v>
      </c>
      <c r="P29" s="4">
        <v>5.612668273748845</v>
      </c>
    </row>
    <row r="30" spans="2:16" ht="12.75">
      <c r="B30" s="600">
        <v>2011</v>
      </c>
      <c r="C30" s="601">
        <v>8.989257871450429</v>
      </c>
      <c r="D30" s="602">
        <v>11.091682596883317</v>
      </c>
      <c r="E30" s="603">
        <v>6.289052172272222</v>
      </c>
      <c r="F30" s="604">
        <v>10.785887035062256</v>
      </c>
      <c r="G30" s="605">
        <v>11.091682596883317</v>
      </c>
      <c r="H30" s="603">
        <v>7.847143085779587</v>
      </c>
      <c r="I30" s="606">
        <v>6.048703531832315</v>
      </c>
      <c r="J30" s="617"/>
      <c r="K30" s="607">
        <v>6.048703531832315</v>
      </c>
      <c r="L30" s="7"/>
      <c r="M30" s="26">
        <v>10.78144713911312</v>
      </c>
      <c r="N30" s="27">
        <v>2011</v>
      </c>
      <c r="O30" s="4">
        <v>11.091682596883317</v>
      </c>
      <c r="P30" s="4">
        <v>6.28853411692578</v>
      </c>
    </row>
    <row r="31" spans="2:16" ht="12.75">
      <c r="B31" s="608">
        <v>2012</v>
      </c>
      <c r="C31" s="609">
        <v>9.944517108645858</v>
      </c>
      <c r="D31" s="610">
        <v>12.20074520231573</v>
      </c>
      <c r="E31" s="611">
        <v>7.031614820669304</v>
      </c>
      <c r="F31" s="612">
        <v>11.863375776364615</v>
      </c>
      <c r="G31" s="613">
        <v>12.20074520231573</v>
      </c>
      <c r="H31" s="611">
        <v>8.64108537957469</v>
      </c>
      <c r="I31" s="614">
        <v>6.78005758168015</v>
      </c>
      <c r="J31" s="616"/>
      <c r="K31" s="615">
        <v>6.78005758168015</v>
      </c>
      <c r="L31" s="7"/>
      <c r="M31" s="26"/>
      <c r="N31" s="27">
        <v>2012</v>
      </c>
      <c r="O31" s="4">
        <f>D31</f>
        <v>12.20074520231573</v>
      </c>
      <c r="P31" s="4">
        <f>E31</f>
        <v>7.031614820669304</v>
      </c>
    </row>
    <row r="32" spans="2:12" ht="13.5" thickBot="1">
      <c r="B32" s="620"/>
      <c r="C32" s="621"/>
      <c r="D32" s="622"/>
      <c r="E32" s="623"/>
      <c r="F32" s="624"/>
      <c r="G32" s="625"/>
      <c r="H32" s="623"/>
      <c r="I32" s="626"/>
      <c r="J32" s="616"/>
      <c r="K32" s="627"/>
      <c r="L32" s="7"/>
    </row>
    <row r="33" spans="2:11" ht="12.75">
      <c r="B33" s="628" t="s">
        <v>109</v>
      </c>
      <c r="C33" s="629">
        <f>(C31/C30)-1</f>
        <v>0.10626675203403613</v>
      </c>
      <c r="D33" s="630">
        <f aca="true" t="shared" si="2" ref="D33:I33">(D31/D30)-1</f>
        <v>0.09999047446093101</v>
      </c>
      <c r="E33" s="631">
        <f t="shared" si="2"/>
        <v>0.11807226718057184</v>
      </c>
      <c r="F33" s="632">
        <f t="shared" si="2"/>
        <v>0.09989801838269852</v>
      </c>
      <c r="G33" s="633">
        <f t="shared" si="2"/>
        <v>0.09999047446093101</v>
      </c>
      <c r="H33" s="630">
        <f t="shared" si="2"/>
        <v>0.10117596749750457</v>
      </c>
      <c r="I33" s="631">
        <f t="shared" si="2"/>
        <v>0.12091087718202109</v>
      </c>
      <c r="J33" s="634"/>
      <c r="K33" s="635">
        <f>(K31/K30)-1</f>
        <v>0.12091087718202109</v>
      </c>
    </row>
    <row r="34" spans="2:11" ht="12.75">
      <c r="B34" s="636" t="s">
        <v>110</v>
      </c>
      <c r="C34" s="637">
        <f>((C31/C26)^(1/5))-1</f>
        <v>0.06074839387818831</v>
      </c>
      <c r="D34" s="638">
        <f aca="true" t="shared" si="3" ref="D34:I34">((D31/D26)^(1/5))-1</f>
        <v>0.06054030649916364</v>
      </c>
      <c r="E34" s="639">
        <f t="shared" si="3"/>
        <v>0.053311217434047764</v>
      </c>
      <c r="F34" s="640">
        <f t="shared" si="3"/>
        <v>0.06437373386563472</v>
      </c>
      <c r="G34" s="641">
        <f t="shared" si="3"/>
        <v>0.06054030649916364</v>
      </c>
      <c r="H34" s="638">
        <f t="shared" si="3"/>
        <v>0.09687167824122067</v>
      </c>
      <c r="I34" s="639">
        <f t="shared" si="3"/>
        <v>0.045791949886845096</v>
      </c>
      <c r="J34" s="642"/>
      <c r="K34" s="643">
        <f>((K31/K26)^(1/5))-1</f>
        <v>0.045791949886845096</v>
      </c>
    </row>
    <row r="35" spans="2:11" ht="12.75">
      <c r="B35" s="644" t="s">
        <v>111</v>
      </c>
      <c r="C35" s="645">
        <f>(C31/C19)-1</f>
        <v>0.3888929604355822</v>
      </c>
      <c r="D35" s="646">
        <f aca="true" t="shared" si="4" ref="D35:I35">(D31/D19)-1</f>
        <v>0.3854502376039759</v>
      </c>
      <c r="E35" s="647">
        <f t="shared" si="4"/>
        <v>0.3467136342802455</v>
      </c>
      <c r="F35" s="648">
        <f t="shared" si="4"/>
        <v>0.47434263878344973</v>
      </c>
      <c r="G35" s="649">
        <f t="shared" si="4"/>
        <v>0.3854502376039759</v>
      </c>
      <c r="H35" s="650">
        <f t="shared" si="4"/>
        <v>0.6193894576467536</v>
      </c>
      <c r="I35" s="647">
        <f t="shared" si="4"/>
        <v>0.3127446386480086</v>
      </c>
      <c r="J35" s="651"/>
      <c r="K35" s="652">
        <f>(K31/K19)-1</f>
        <v>0.3127446386480086</v>
      </c>
    </row>
    <row r="36" spans="2:11" ht="13.5" thickBot="1">
      <c r="B36" s="653" t="s">
        <v>112</v>
      </c>
      <c r="C36" s="654">
        <f>((C31/C19)^(1/12))-1</f>
        <v>0.02775373732812758</v>
      </c>
      <c r="D36" s="655">
        <f aca="true" t="shared" si="5" ref="D36:I36">((D31/D19)^(1/12))-1</f>
        <v>0.02754120010434713</v>
      </c>
      <c r="E36" s="656">
        <f t="shared" si="5"/>
        <v>0.02511582544091162</v>
      </c>
      <c r="F36" s="657">
        <f t="shared" si="5"/>
        <v>0.032880001654217894</v>
      </c>
      <c r="G36" s="658">
        <f t="shared" si="5"/>
        <v>0.02754120010434713</v>
      </c>
      <c r="H36" s="655">
        <f t="shared" si="5"/>
        <v>0.04098852517386509</v>
      </c>
      <c r="I36" s="659">
        <f t="shared" si="5"/>
        <v>0.022935744475228725</v>
      </c>
      <c r="J36" s="651"/>
      <c r="K36" s="660">
        <f>((K31/K19)^(1/12))-1</f>
        <v>0.022935744475228725</v>
      </c>
    </row>
    <row r="37" spans="2:3" ht="12.75">
      <c r="B37" s="661"/>
      <c r="C37" s="662"/>
    </row>
    <row r="38" ht="12.75">
      <c r="B38" s="102"/>
    </row>
    <row r="39" spans="15:16" ht="12.75">
      <c r="O39" t="s">
        <v>10</v>
      </c>
      <c r="P39" t="s">
        <v>11</v>
      </c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O40" s="4"/>
      <c r="P40" s="4"/>
    </row>
    <row r="41" spans="15:16" ht="12.75">
      <c r="O41" s="4"/>
      <c r="P41" s="4"/>
    </row>
    <row r="42" spans="14:16" ht="12.75">
      <c r="N42">
        <v>1995</v>
      </c>
      <c r="O42" s="4">
        <v>8.955560685264611</v>
      </c>
      <c r="P42" s="4">
        <v>4.2445573090579085</v>
      </c>
    </row>
    <row r="43" spans="14:16" ht="12.75">
      <c r="N43">
        <v>1996</v>
      </c>
      <c r="O43" s="4">
        <v>9.377457321378525</v>
      </c>
      <c r="P43" s="4">
        <v>4.5448535324028105</v>
      </c>
    </row>
    <row r="44" spans="14:16" ht="12.75">
      <c r="N44">
        <v>1997</v>
      </c>
      <c r="O44" s="4">
        <v>9.163588512282494</v>
      </c>
      <c r="P44" s="4">
        <v>5.212117520815097</v>
      </c>
    </row>
    <row r="45" spans="14:16" ht="12.75">
      <c r="N45">
        <v>1998</v>
      </c>
      <c r="O45" s="4">
        <v>7.957160935688618</v>
      </c>
      <c r="P45" s="4">
        <v>4.893174766470397</v>
      </c>
    </row>
    <row r="46" spans="14:16" ht="12.75">
      <c r="N46">
        <v>1999</v>
      </c>
      <c r="O46" s="4">
        <v>7.632021028288909</v>
      </c>
      <c r="P46" s="4">
        <v>4.86160260753618</v>
      </c>
    </row>
    <row r="47" spans="14:16" ht="12.75">
      <c r="N47">
        <v>2000</v>
      </c>
      <c r="O47" s="4">
        <v>8.046552724103298</v>
      </c>
      <c r="P47" s="4">
        <v>5.164795484263346</v>
      </c>
    </row>
    <row r="48" spans="14:16" ht="12.75">
      <c r="N48">
        <v>2001</v>
      </c>
      <c r="O48" s="4">
        <v>8.198076063917068</v>
      </c>
      <c r="P48" s="4">
        <v>4.531755939031402</v>
      </c>
    </row>
    <row r="49" spans="14:16" ht="12.75">
      <c r="N49">
        <v>2002</v>
      </c>
      <c r="O49" s="4">
        <v>7.758352080828168</v>
      </c>
      <c r="P49" s="4">
        <v>4.541729686255704</v>
      </c>
    </row>
    <row r="50" spans="14:16" ht="12.75">
      <c r="N50">
        <v>2003</v>
      </c>
      <c r="O50" s="4">
        <v>7.97175316190768</v>
      </c>
      <c r="P50" s="4">
        <v>4.470113199324197</v>
      </c>
    </row>
    <row r="51" spans="14:16" ht="12.75">
      <c r="N51">
        <v>2004</v>
      </c>
      <c r="O51" s="4">
        <v>8.223023177008951</v>
      </c>
      <c r="P51" s="4">
        <v>5.176227190061146</v>
      </c>
    </row>
    <row r="52" spans="14:16" ht="12.75">
      <c r="N52">
        <v>2005</v>
      </c>
      <c r="O52" s="4">
        <v>8.888491459581944</v>
      </c>
      <c r="P52" s="4">
        <v>5.541607608090972</v>
      </c>
    </row>
    <row r="53" spans="14:16" ht="12.75">
      <c r="N53">
        <v>2006</v>
      </c>
      <c r="O53" s="4">
        <v>8.702584077848925</v>
      </c>
      <c r="P53" s="4">
        <v>5.581447756240201</v>
      </c>
    </row>
    <row r="54" spans="14:16" ht="12.75">
      <c r="N54" s="27">
        <v>2007</v>
      </c>
      <c r="O54" s="4">
        <v>8.684354506431966</v>
      </c>
      <c r="P54" s="4">
        <v>5.420095140533965</v>
      </c>
    </row>
    <row r="55" spans="14:16" ht="12.75">
      <c r="N55" s="27">
        <v>2008</v>
      </c>
      <c r="O55" s="4">
        <v>9.210201127006314</v>
      </c>
      <c r="P55" s="4">
        <v>6.719070229036941</v>
      </c>
    </row>
    <row r="56" spans="14:16" ht="12.75">
      <c r="N56" s="27">
        <v>2009</v>
      </c>
      <c r="O56" s="4">
        <v>9.856466421204773</v>
      </c>
      <c r="P56" s="4">
        <v>5.555962919381731</v>
      </c>
    </row>
    <row r="57" spans="14:16" ht="12.75">
      <c r="N57" s="27">
        <v>2010</v>
      </c>
      <c r="O57" s="4">
        <v>10.118555763056674</v>
      </c>
      <c r="P57" s="4">
        <v>5.40378094616865</v>
      </c>
    </row>
    <row r="58" spans="14:16" ht="12.75">
      <c r="N58" s="27">
        <v>2011</v>
      </c>
      <c r="O58" s="663">
        <v>10.785887035062256</v>
      </c>
      <c r="P58" s="663">
        <v>6.048539042076152</v>
      </c>
    </row>
    <row r="59" spans="14:16" ht="12.75">
      <c r="N59" s="27">
        <v>2012</v>
      </c>
      <c r="O59" s="663">
        <f>F31</f>
        <v>11.863375776364615</v>
      </c>
      <c r="P59" s="663">
        <f>I31</f>
        <v>6.78005758168015</v>
      </c>
    </row>
    <row r="60" spans="14:16" ht="12.75">
      <c r="N60" s="27"/>
      <c r="O60" s="663"/>
      <c r="P60" s="663"/>
    </row>
  </sheetData>
  <sheetProtection/>
  <mergeCells count="4">
    <mergeCell ref="B10:B11"/>
    <mergeCell ref="C10:E10"/>
    <mergeCell ref="F10:H10"/>
    <mergeCell ref="I10:K10"/>
  </mergeCells>
  <printOptions horizontalCentered="1" verticalCentered="1"/>
  <pageMargins left="0.66" right="0.64" top="1" bottom="1" header="0" footer="0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zoomScaleSheetLayoutView="110" zoomScalePageLayoutView="0" workbookViewId="0" topLeftCell="A28">
      <selection activeCell="C29" sqref="C29"/>
    </sheetView>
  </sheetViews>
  <sheetFormatPr defaultColWidth="11.421875" defaultRowHeight="12.75"/>
  <cols>
    <col min="1" max="1" width="8.421875" style="0" customWidth="1"/>
    <col min="2" max="2" width="18.57421875" style="0" customWidth="1"/>
    <col min="3" max="3" width="11.00390625" style="0" customWidth="1"/>
    <col min="4" max="4" width="6.28125" style="0" customWidth="1"/>
    <col min="5" max="5" width="9.7109375" style="0" customWidth="1"/>
    <col min="6" max="6" width="6.8515625" style="0" customWidth="1"/>
    <col min="7" max="7" width="9.7109375" style="0" customWidth="1"/>
    <col min="8" max="8" width="7.00390625" style="0" customWidth="1"/>
    <col min="9" max="9" width="9.7109375" style="0" customWidth="1"/>
    <col min="10" max="10" width="5.7109375" style="0" customWidth="1"/>
    <col min="11" max="13" width="9.7109375" style="0" customWidth="1"/>
    <col min="14" max="14" width="10.7109375" style="0" customWidth="1"/>
    <col min="15" max="15" width="18.57421875" style="0" bestFit="1" customWidth="1"/>
    <col min="16" max="24" width="10.7109375" style="0" customWidth="1"/>
    <col min="28" max="28" width="12.57421875" style="0" bestFit="1" customWidth="1"/>
  </cols>
  <sheetData>
    <row r="1" spans="2:4" ht="15.75">
      <c r="B1" s="23"/>
      <c r="C1" s="23"/>
      <c r="D1" s="24"/>
    </row>
    <row r="2" spans="1:13" ht="18">
      <c r="A2" s="11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5" ht="12.75">
      <c r="B4" s="6"/>
      <c r="C4" s="6"/>
      <c r="D4" s="6"/>
      <c r="E4" s="6"/>
    </row>
    <row r="5" ht="13.5" thickBot="1"/>
    <row r="6" spans="2:14" ht="12.75">
      <c r="B6" s="931" t="s">
        <v>18</v>
      </c>
      <c r="C6" s="933" t="s">
        <v>40</v>
      </c>
      <c r="D6" s="934"/>
      <c r="E6" s="933" t="s">
        <v>41</v>
      </c>
      <c r="F6" s="934"/>
      <c r="G6" s="933" t="s">
        <v>42</v>
      </c>
      <c r="H6" s="934"/>
      <c r="I6" s="927" t="s">
        <v>43</v>
      </c>
      <c r="J6" s="928"/>
      <c r="K6" s="931" t="s">
        <v>0</v>
      </c>
      <c r="M6" s="30"/>
      <c r="N6" s="27"/>
    </row>
    <row r="7" spans="2:14" ht="13.5" thickBot="1">
      <c r="B7" s="932"/>
      <c r="C7" s="935"/>
      <c r="D7" s="936"/>
      <c r="E7" s="935"/>
      <c r="F7" s="936"/>
      <c r="G7" s="935"/>
      <c r="H7" s="936"/>
      <c r="I7" s="929"/>
      <c r="J7" s="930"/>
      <c r="K7" s="932"/>
      <c r="M7" s="30"/>
      <c r="N7" s="27"/>
    </row>
    <row r="8" spans="1:31" ht="12.75">
      <c r="A8" s="6"/>
      <c r="B8" s="86">
        <v>1992</v>
      </c>
      <c r="C8" s="87">
        <v>3109.254</v>
      </c>
      <c r="D8" s="88">
        <f>+C8/$K8</f>
        <v>0.4281998853911759</v>
      </c>
      <c r="E8" s="81">
        <f>361.967+658.68</f>
        <v>1020.6469999999999</v>
      </c>
      <c r="F8" s="88">
        <f>+E8/$K8</f>
        <v>0.14056134636309786</v>
      </c>
      <c r="G8" s="81">
        <v>2748.592</v>
      </c>
      <c r="H8" s="88">
        <f aca="true" t="shared" si="0" ref="H8:H26">+G8/$K8</f>
        <v>0.3785302774836353</v>
      </c>
      <c r="I8" s="81">
        <v>382.728</v>
      </c>
      <c r="J8" s="89">
        <f aca="true" t="shared" si="1" ref="J8:J26">+I8/$K8</f>
        <v>0.05270849076209084</v>
      </c>
      <c r="K8" s="90">
        <f aca="true" t="shared" si="2" ref="K8:K21">C8+E8+G8+I8</f>
        <v>7261.2210000000005</v>
      </c>
      <c r="L8" s="6"/>
      <c r="M8" s="32"/>
      <c r="N8" s="2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1"/>
      <c r="AD8" s="26"/>
      <c r="AE8" s="26"/>
    </row>
    <row r="9" spans="1:31" ht="12.75">
      <c r="A9" s="6"/>
      <c r="B9" s="86">
        <v>1993</v>
      </c>
      <c r="C9" s="91">
        <v>3174.6043</v>
      </c>
      <c r="D9" s="92">
        <f aca="true" t="shared" si="3" ref="D9:F26">+C9/$K9</f>
        <v>0.3819591194518462</v>
      </c>
      <c r="E9" s="59">
        <f>791.5456+810.2429</f>
        <v>1601.7885</v>
      </c>
      <c r="F9" s="92">
        <f t="shared" si="3"/>
        <v>0.1927225150574179</v>
      </c>
      <c r="G9" s="59">
        <v>3063.5259</v>
      </c>
      <c r="H9" s="92">
        <f t="shared" si="0"/>
        <v>0.3685944907155593</v>
      </c>
      <c r="I9" s="59">
        <v>471.45322</v>
      </c>
      <c r="J9" s="93">
        <f t="shared" si="1"/>
        <v>0.05672387477517671</v>
      </c>
      <c r="K9" s="94">
        <f t="shared" si="2"/>
        <v>8311.37192</v>
      </c>
      <c r="L9" s="6"/>
      <c r="M9" s="32"/>
      <c r="N9" s="2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14" ht="12.75">
      <c r="A10" s="6"/>
      <c r="B10" s="86">
        <v>1994</v>
      </c>
      <c r="C10" s="91">
        <f>9334.776*0.413</f>
        <v>3855.262488</v>
      </c>
      <c r="D10" s="92">
        <f t="shared" si="3"/>
        <v>0.413</v>
      </c>
      <c r="E10" s="59">
        <f>9334.776*0.107+849.464616</f>
        <v>1848.285648</v>
      </c>
      <c r="F10" s="92">
        <f t="shared" si="3"/>
        <v>0.198</v>
      </c>
      <c r="G10" s="59">
        <f>9334.776*0.336</f>
        <v>3136.4847360000003</v>
      </c>
      <c r="H10" s="92">
        <f t="shared" si="0"/>
        <v>0.336</v>
      </c>
      <c r="I10" s="59">
        <f>9334.776*0.053</f>
        <v>494.74312799999996</v>
      </c>
      <c r="J10" s="93">
        <f t="shared" si="1"/>
        <v>0.053</v>
      </c>
      <c r="K10" s="94">
        <f t="shared" si="2"/>
        <v>9334.776</v>
      </c>
      <c r="L10" s="6"/>
      <c r="M10" s="32"/>
      <c r="N10" s="27"/>
    </row>
    <row r="11" spans="1:14" ht="12.75">
      <c r="A11" s="6"/>
      <c r="B11" s="86">
        <v>1995</v>
      </c>
      <c r="C11" s="91">
        <v>3963.76629</v>
      </c>
      <c r="D11" s="92">
        <f t="shared" si="3"/>
        <v>0.40244321387216575</v>
      </c>
      <c r="E11" s="59">
        <f>1375.844691+872.823814</f>
        <v>2248.668505</v>
      </c>
      <c r="F11" s="92">
        <f t="shared" si="3"/>
        <v>0.22830846065985344</v>
      </c>
      <c r="G11" s="59">
        <v>3154.1445019999996</v>
      </c>
      <c r="H11" s="92">
        <f t="shared" si="0"/>
        <v>0.32024190063993446</v>
      </c>
      <c r="I11" s="59">
        <v>482.67683</v>
      </c>
      <c r="J11" s="93">
        <f t="shared" si="1"/>
        <v>0.049006424828046305</v>
      </c>
      <c r="K11" s="94">
        <f t="shared" si="2"/>
        <v>9849.256127</v>
      </c>
      <c r="L11" s="6"/>
      <c r="M11" s="32"/>
      <c r="N11" s="27"/>
    </row>
    <row r="12" spans="1:14" ht="12.75">
      <c r="A12" s="6"/>
      <c r="B12" s="86">
        <v>1996</v>
      </c>
      <c r="C12" s="91">
        <v>4305.296401</v>
      </c>
      <c r="D12" s="92">
        <f t="shared" si="3"/>
        <v>0.416744078099814</v>
      </c>
      <c r="E12" s="59">
        <f>1475.713399+875.27503</f>
        <v>2350.988429</v>
      </c>
      <c r="F12" s="92">
        <f t="shared" si="3"/>
        <v>0.2275709763535361</v>
      </c>
      <c r="G12" s="59">
        <v>3185.061631</v>
      </c>
      <c r="H12" s="92">
        <f t="shared" si="0"/>
        <v>0.30830759359422444</v>
      </c>
      <c r="I12" s="59">
        <v>489.44557</v>
      </c>
      <c r="J12" s="93">
        <f t="shared" si="1"/>
        <v>0.04737735195242554</v>
      </c>
      <c r="K12" s="94">
        <f t="shared" si="2"/>
        <v>10330.792030999999</v>
      </c>
      <c r="L12" s="6"/>
      <c r="M12" s="32"/>
      <c r="N12" s="27"/>
    </row>
    <row r="13" spans="1:14" ht="12.75">
      <c r="A13" s="6"/>
      <c r="B13" s="86">
        <v>1997</v>
      </c>
      <c r="C13" s="91">
        <v>6058.131118</v>
      </c>
      <c r="D13" s="92">
        <f t="shared" si="3"/>
        <v>0.4865487892792349</v>
      </c>
      <c r="E13" s="59">
        <v>2480.103368</v>
      </c>
      <c r="F13" s="92">
        <f t="shared" si="3"/>
        <v>0.19918540346583377</v>
      </c>
      <c r="G13" s="59">
        <f>3385523/1000</f>
        <v>3385.523</v>
      </c>
      <c r="H13" s="92">
        <f t="shared" si="0"/>
        <v>0.2719026849440011</v>
      </c>
      <c r="I13" s="59">
        <f>527473/1000</f>
        <v>527.473</v>
      </c>
      <c r="J13" s="93">
        <f t="shared" si="1"/>
        <v>0.04236312231093012</v>
      </c>
      <c r="K13" s="94">
        <f t="shared" si="2"/>
        <v>12451.230486000002</v>
      </c>
      <c r="L13" s="6"/>
      <c r="M13" s="32"/>
      <c r="N13" s="27"/>
    </row>
    <row r="14" spans="1:14" ht="12.75">
      <c r="A14" s="6"/>
      <c r="B14" s="86">
        <v>1998</v>
      </c>
      <c r="C14" s="91">
        <v>7473.848437</v>
      </c>
      <c r="D14" s="92">
        <f t="shared" si="3"/>
        <v>0.5335168445158409</v>
      </c>
      <c r="E14" s="59">
        <v>2360.432139</v>
      </c>
      <c r="F14" s="92">
        <f t="shared" si="3"/>
        <v>0.1684982398436958</v>
      </c>
      <c r="G14" s="59">
        <v>3639.3</v>
      </c>
      <c r="H14" s="92">
        <f t="shared" si="0"/>
        <v>0.2597895673980069</v>
      </c>
      <c r="I14" s="59">
        <v>535.0651</v>
      </c>
      <c r="J14" s="93">
        <f t="shared" si="1"/>
        <v>0.03819534824245633</v>
      </c>
      <c r="K14" s="94">
        <f t="shared" si="2"/>
        <v>14008.645676</v>
      </c>
      <c r="L14" s="6"/>
      <c r="M14" s="32"/>
      <c r="N14" s="27"/>
    </row>
    <row r="15" spans="1:14" ht="12.75">
      <c r="A15" s="6"/>
      <c r="B15" s="86">
        <v>1999</v>
      </c>
      <c r="C15" s="91">
        <v>7855.6</v>
      </c>
      <c r="D15" s="92">
        <f t="shared" si="3"/>
        <v>0.538353470075864</v>
      </c>
      <c r="E15" s="59">
        <v>2420.3</v>
      </c>
      <c r="F15" s="92">
        <f t="shared" si="3"/>
        <v>0.16586599414743797</v>
      </c>
      <c r="G15" s="59">
        <v>3772.7</v>
      </c>
      <c r="H15" s="92">
        <f t="shared" si="0"/>
        <v>0.25854755035327814</v>
      </c>
      <c r="I15" s="59">
        <v>543.3</v>
      </c>
      <c r="J15" s="93">
        <f t="shared" si="1"/>
        <v>0.03723298542341984</v>
      </c>
      <c r="K15" s="94">
        <f t="shared" si="2"/>
        <v>14591.900000000001</v>
      </c>
      <c r="L15" s="6"/>
      <c r="M15" s="32"/>
      <c r="N15" s="27"/>
    </row>
    <row r="16" spans="1:14" ht="12.75">
      <c r="A16" s="6"/>
      <c r="B16" s="86">
        <v>2000</v>
      </c>
      <c r="C16" s="91">
        <v>8375.016653115</v>
      </c>
      <c r="D16" s="92">
        <f t="shared" si="3"/>
        <v>0.5387388632962289</v>
      </c>
      <c r="E16" s="59">
        <v>2693.3458028849996</v>
      </c>
      <c r="F16" s="92">
        <f t="shared" si="3"/>
        <v>0.17325458759180443</v>
      </c>
      <c r="G16" s="59">
        <v>3936.241469000001</v>
      </c>
      <c r="H16" s="92">
        <f t="shared" si="0"/>
        <v>0.2532062134921011</v>
      </c>
      <c r="I16" s="59">
        <v>540.9919540000001</v>
      </c>
      <c r="J16" s="93">
        <f t="shared" si="1"/>
        <v>0.03480033561986563</v>
      </c>
      <c r="K16" s="94">
        <f t="shared" si="2"/>
        <v>15545.595879</v>
      </c>
      <c r="L16" s="6"/>
      <c r="M16" s="32"/>
      <c r="N16" s="27"/>
    </row>
    <row r="17" spans="1:14" ht="12.75">
      <c r="A17" s="6"/>
      <c r="B17" s="86">
        <v>2001</v>
      </c>
      <c r="C17" s="91">
        <v>9280.560039965001</v>
      </c>
      <c r="D17" s="92">
        <f t="shared" si="3"/>
        <v>0.5581031344657368</v>
      </c>
      <c r="E17" s="59">
        <v>2762.2040670349998</v>
      </c>
      <c r="F17" s="92">
        <f t="shared" si="3"/>
        <v>0.1661100990896723</v>
      </c>
      <c r="G17" s="59">
        <v>4043.968830999999</v>
      </c>
      <c r="H17" s="92">
        <f t="shared" si="0"/>
        <v>0.24319132364250642</v>
      </c>
      <c r="I17" s="59">
        <v>542.021618</v>
      </c>
      <c r="J17" s="93">
        <f t="shared" si="1"/>
        <v>0.0325954428020845</v>
      </c>
      <c r="K17" s="94">
        <f t="shared" si="2"/>
        <v>16628.754556</v>
      </c>
      <c r="L17" s="6"/>
      <c r="M17" s="32"/>
      <c r="N17" s="27"/>
    </row>
    <row r="18" spans="1:14" ht="12.75">
      <c r="A18" s="6"/>
      <c r="B18" s="86">
        <v>2002</v>
      </c>
      <c r="C18" s="91">
        <v>9567.606076848</v>
      </c>
      <c r="D18" s="92">
        <f t="shared" si="3"/>
        <v>0.5434495305119252</v>
      </c>
      <c r="E18" s="59">
        <v>3013.11527</v>
      </c>
      <c r="F18" s="92">
        <f t="shared" si="3"/>
        <v>0.17114794084407697</v>
      </c>
      <c r="G18" s="59">
        <v>4464.875400000001</v>
      </c>
      <c r="H18" s="92">
        <f t="shared" si="0"/>
        <v>0.2536093585411934</v>
      </c>
      <c r="I18" s="59">
        <v>559.7291200000001</v>
      </c>
      <c r="J18" s="93">
        <f t="shared" si="1"/>
        <v>0.03179317010280436</v>
      </c>
      <c r="K18" s="94">
        <f t="shared" si="2"/>
        <v>17605.325866848</v>
      </c>
      <c r="L18" s="6"/>
      <c r="M18" s="32"/>
      <c r="N18" s="27"/>
    </row>
    <row r="19" spans="1:14" ht="12.75">
      <c r="A19" s="6"/>
      <c r="B19" s="86">
        <v>2003</v>
      </c>
      <c r="C19" s="91">
        <v>10038.680803439998</v>
      </c>
      <c r="D19" s="92">
        <f t="shared" si="3"/>
        <v>0.5463127974512805</v>
      </c>
      <c r="E19" s="59">
        <v>3341.09110656</v>
      </c>
      <c r="F19" s="92">
        <f t="shared" si="3"/>
        <v>0.18182477007725067</v>
      </c>
      <c r="G19" s="59">
        <v>4425.337826999999</v>
      </c>
      <c r="H19" s="92">
        <f t="shared" si="0"/>
        <v>0.2408303177751089</v>
      </c>
      <c r="I19" s="59">
        <v>570.225511</v>
      </c>
      <c r="J19" s="93">
        <f t="shared" si="1"/>
        <v>0.03103211469635985</v>
      </c>
      <c r="K19" s="94">
        <f t="shared" si="2"/>
        <v>18375.335248</v>
      </c>
      <c r="L19" s="6"/>
      <c r="M19" s="31"/>
      <c r="N19" s="27"/>
    </row>
    <row r="20" spans="1:14" ht="12.75">
      <c r="A20" s="6"/>
      <c r="B20" s="86">
        <v>2004</v>
      </c>
      <c r="C20" s="91">
        <v>11074.758817645607</v>
      </c>
      <c r="D20" s="92">
        <f t="shared" si="3"/>
        <v>0.5638692299771525</v>
      </c>
      <c r="E20" s="59">
        <v>3243.4254471762724</v>
      </c>
      <c r="F20" s="92">
        <f t="shared" si="3"/>
        <v>0.16513838716502063</v>
      </c>
      <c r="G20" s="59">
        <v>4720.009164178123</v>
      </c>
      <c r="H20" s="92">
        <f t="shared" si="0"/>
        <v>0.24031836509610105</v>
      </c>
      <c r="I20" s="59">
        <v>602.4576809999999</v>
      </c>
      <c r="J20" s="93">
        <f t="shared" si="1"/>
        <v>0.030674017761725812</v>
      </c>
      <c r="K20" s="94">
        <f t="shared" si="2"/>
        <v>19640.651110000003</v>
      </c>
      <c r="L20" s="6"/>
      <c r="M20" s="31"/>
      <c r="N20" s="27"/>
    </row>
    <row r="21" spans="1:14" ht="12.75">
      <c r="A21" s="6"/>
      <c r="B21" s="86">
        <v>2005</v>
      </c>
      <c r="C21" s="91">
        <v>11588.277687039452</v>
      </c>
      <c r="D21" s="93">
        <f t="shared" si="3"/>
        <v>0.5597827813769248</v>
      </c>
      <c r="E21" s="59">
        <v>3460.342893311222</v>
      </c>
      <c r="F21" s="92">
        <f t="shared" si="3"/>
        <v>0.16715515641310993</v>
      </c>
      <c r="G21" s="59">
        <v>5020.735608899325</v>
      </c>
      <c r="H21" s="92">
        <f t="shared" si="0"/>
        <v>0.2425314114496214</v>
      </c>
      <c r="I21" s="59">
        <v>632.0266909722222</v>
      </c>
      <c r="J21" s="93">
        <f t="shared" si="1"/>
        <v>0.03053065076034368</v>
      </c>
      <c r="K21" s="94">
        <f t="shared" si="2"/>
        <v>20701.382880222223</v>
      </c>
      <c r="L21" s="6"/>
      <c r="M21" s="31"/>
      <c r="N21" s="27"/>
    </row>
    <row r="22" spans="1:14" ht="12.75">
      <c r="A22" s="6"/>
      <c r="B22" s="86">
        <v>2006</v>
      </c>
      <c r="C22" s="91">
        <v>12481.42189750605</v>
      </c>
      <c r="D22" s="93">
        <f t="shared" si="3"/>
        <v>0.5599545829790685</v>
      </c>
      <c r="E22" s="59">
        <v>3760.348472826244</v>
      </c>
      <c r="F22" s="92">
        <f t="shared" si="3"/>
        <v>0.16870067995843707</v>
      </c>
      <c r="G22" s="59">
        <v>5404.368964667703</v>
      </c>
      <c r="H22" s="92">
        <f t="shared" si="0"/>
        <v>0.24245644404346256</v>
      </c>
      <c r="I22" s="59">
        <v>643.9218179999998</v>
      </c>
      <c r="J22" s="93">
        <f t="shared" si="1"/>
        <v>0.028888293019031713</v>
      </c>
      <c r="K22" s="94">
        <f aca="true" t="shared" si="4" ref="K22:K28">C22+E22+G22+I22</f>
        <v>22290.061153</v>
      </c>
      <c r="L22" s="6"/>
      <c r="M22" s="31"/>
      <c r="N22" s="27"/>
    </row>
    <row r="23" spans="1:14" ht="12.75">
      <c r="A23" s="6"/>
      <c r="B23" s="86">
        <v>2007</v>
      </c>
      <c r="C23" s="91">
        <v>14165.658529274375</v>
      </c>
      <c r="D23" s="93">
        <f t="shared" si="3"/>
        <v>0.5730039078305956</v>
      </c>
      <c r="E23" s="59">
        <v>4023.5192699368326</v>
      </c>
      <c r="F23" s="92">
        <f t="shared" si="3"/>
        <v>0.16275221234092582</v>
      </c>
      <c r="G23" s="59">
        <v>5877.1253377888</v>
      </c>
      <c r="H23" s="92">
        <f t="shared" si="0"/>
        <v>0.23773097300092091</v>
      </c>
      <c r="I23" s="59">
        <v>655.445416</v>
      </c>
      <c r="J23" s="93">
        <f t="shared" si="1"/>
        <v>0.02651290682755776</v>
      </c>
      <c r="K23" s="94">
        <f t="shared" si="4"/>
        <v>24721.748553000005</v>
      </c>
      <c r="L23" s="6"/>
      <c r="M23" s="31"/>
      <c r="N23" s="27"/>
    </row>
    <row r="24" spans="1:14" ht="12.75">
      <c r="A24" s="6"/>
      <c r="B24" s="86">
        <v>2008</v>
      </c>
      <c r="C24" s="91">
        <v>15437.253867346535</v>
      </c>
      <c r="D24" s="93">
        <f t="shared" si="3"/>
        <v>0.5725046917813132</v>
      </c>
      <c r="E24" s="59">
        <v>4494.896012311768</v>
      </c>
      <c r="F24" s="92">
        <f t="shared" si="3"/>
        <v>0.16669733349147337</v>
      </c>
      <c r="G24" s="59">
        <v>6357.319264341718</v>
      </c>
      <c r="H24" s="92">
        <f t="shared" si="0"/>
        <v>0.2357670047576253</v>
      </c>
      <c r="I24" s="59">
        <v>674.9454520000002</v>
      </c>
      <c r="J24" s="93">
        <f t="shared" si="1"/>
        <v>0.02503096996958812</v>
      </c>
      <c r="K24" s="94">
        <f t="shared" si="4"/>
        <v>26964.41459600002</v>
      </c>
      <c r="L24" s="6"/>
      <c r="M24" s="31"/>
      <c r="N24" s="27"/>
    </row>
    <row r="25" spans="1:14" ht="12.75">
      <c r="A25" s="6"/>
      <c r="B25" s="86">
        <v>2009</v>
      </c>
      <c r="C25" s="91">
        <v>14942.95020594519</v>
      </c>
      <c r="D25" s="93">
        <f t="shared" si="3"/>
        <v>0.5516648952994828</v>
      </c>
      <c r="E25" s="59">
        <v>4815.08100910374</v>
      </c>
      <c r="F25" s="92">
        <f t="shared" si="3"/>
        <v>0.1777635021288437</v>
      </c>
      <c r="G25" s="59">
        <v>6644.5992379510635</v>
      </c>
      <c r="H25" s="92">
        <f t="shared" si="0"/>
        <v>0.24530578583156273</v>
      </c>
      <c r="I25" s="59">
        <v>684.375324</v>
      </c>
      <c r="J25" s="93">
        <f t="shared" si="1"/>
        <v>0.025265816740110636</v>
      </c>
      <c r="K25" s="94">
        <f t="shared" si="4"/>
        <v>27087.005776999995</v>
      </c>
      <c r="L25" s="6"/>
      <c r="M25" s="31"/>
      <c r="N25" s="27"/>
    </row>
    <row r="26" spans="1:14" ht="12.75">
      <c r="A26" s="6"/>
      <c r="B26" s="86">
        <v>2010</v>
      </c>
      <c r="C26" s="91">
        <v>16434.708415297537</v>
      </c>
      <c r="D26" s="93">
        <f t="shared" si="3"/>
        <v>0.5583167088137729</v>
      </c>
      <c r="E26" s="59">
        <v>5205.824371189548</v>
      </c>
      <c r="F26" s="92">
        <f t="shared" si="3"/>
        <v>0.17685125017975306</v>
      </c>
      <c r="G26" s="59">
        <v>7086.245333512921</v>
      </c>
      <c r="H26" s="92">
        <f t="shared" si="0"/>
        <v>0.24073254434932814</v>
      </c>
      <c r="I26" s="59">
        <v>709.3970040000002</v>
      </c>
      <c r="J26" s="93">
        <f t="shared" si="1"/>
        <v>0.024099496657145926</v>
      </c>
      <c r="K26" s="94">
        <f t="shared" si="4"/>
        <v>29436.175124000005</v>
      </c>
      <c r="L26" s="6"/>
      <c r="M26" s="31"/>
      <c r="N26" s="27"/>
    </row>
    <row r="27" spans="1:14" ht="12.75">
      <c r="A27" s="6"/>
      <c r="B27" s="86">
        <v>2011</v>
      </c>
      <c r="C27" s="91">
        <v>17841.423398594416</v>
      </c>
      <c r="D27" s="93">
        <f>+C27/$K27</f>
        <v>0.5606922283097572</v>
      </c>
      <c r="E27" s="59">
        <v>5563.117986117448</v>
      </c>
      <c r="F27" s="92">
        <f>+E27/$K27</f>
        <v>0.1748289332246898</v>
      </c>
      <c r="G27" s="59">
        <v>7663.0902881815</v>
      </c>
      <c r="H27" s="92">
        <f>+G27/$K27</f>
        <v>0.24082356398525034</v>
      </c>
      <c r="I27" s="59">
        <v>752.7191323577373</v>
      </c>
      <c r="J27" s="93">
        <f>+I27/$K27</f>
        <v>0.023655274480302746</v>
      </c>
      <c r="K27" s="94">
        <f t="shared" si="4"/>
        <v>31820.3508052511</v>
      </c>
      <c r="L27" s="6"/>
      <c r="M27" s="31"/>
      <c r="N27" s="27"/>
    </row>
    <row r="28" spans="1:14" ht="13.5" thickBot="1">
      <c r="A28" s="6"/>
      <c r="B28" s="86">
        <v>2012</v>
      </c>
      <c r="C28" s="91">
        <v>18689.465278642438</v>
      </c>
      <c r="D28" s="93">
        <f>+C28/$K28</f>
        <v>0.5554671692471435</v>
      </c>
      <c r="E28" s="59">
        <v>6061.447981064225</v>
      </c>
      <c r="F28" s="92">
        <f>+E28/$K28</f>
        <v>0.18015150788867967</v>
      </c>
      <c r="G28" s="59">
        <v>8110.004099312681</v>
      </c>
      <c r="H28" s="92">
        <f>+G28/$K28</f>
        <v>0.24103637811274858</v>
      </c>
      <c r="I28" s="59">
        <v>785.4731269806538</v>
      </c>
      <c r="J28" s="93">
        <f>+I28/$K28</f>
        <v>0.023344944751428332</v>
      </c>
      <c r="K28" s="94">
        <f t="shared" si="4"/>
        <v>33646.390486</v>
      </c>
      <c r="L28" s="6"/>
      <c r="M28" s="31"/>
      <c r="N28" s="27"/>
    </row>
    <row r="29" spans="1:14" ht="12.75">
      <c r="A29" s="6"/>
      <c r="B29" s="280" t="s">
        <v>109</v>
      </c>
      <c r="C29" s="95">
        <f>(C28/C27)-1</f>
        <v>0.04753218737664344</v>
      </c>
      <c r="D29" s="61"/>
      <c r="E29" s="664">
        <f>(E28/E27)-1</f>
        <v>0.08957746288867874</v>
      </c>
      <c r="F29" s="61"/>
      <c r="G29" s="95">
        <f>(G28/G27)-1</f>
        <v>0.05832031130057813</v>
      </c>
      <c r="H29" s="201"/>
      <c r="I29" s="95">
        <f>(I28/I27)-1</f>
        <v>0.04351423155715639</v>
      </c>
      <c r="J29" s="204"/>
      <c r="K29" s="65">
        <f>(K28/K27)-1</f>
        <v>0.05738590664586751</v>
      </c>
      <c r="L29" s="6"/>
      <c r="M29" s="31"/>
      <c r="N29" s="27"/>
    </row>
    <row r="30" spans="1:14" ht="12.75">
      <c r="A30" s="6"/>
      <c r="B30" s="206" t="s">
        <v>110</v>
      </c>
      <c r="C30" s="96">
        <f>((C28/C23)^(1/5))-1</f>
        <v>0.05699278166649435</v>
      </c>
      <c r="D30" s="63"/>
      <c r="E30" s="665">
        <f>((E28/E23)^(1/5))-1</f>
        <v>0.08541060205096285</v>
      </c>
      <c r="F30" s="203"/>
      <c r="G30" s="199">
        <f>((G28/G23)^(1/5))-1</f>
        <v>0.0665254522643921</v>
      </c>
      <c r="H30" s="63"/>
      <c r="I30" s="96">
        <f>((I28/I23)^(1/5))-1</f>
        <v>0.036857229564686955</v>
      </c>
      <c r="J30" s="200"/>
      <c r="K30" s="66">
        <f>((K28/K23)^(1/5))-1</f>
        <v>0.06358415621799884</v>
      </c>
      <c r="L30" s="202"/>
      <c r="M30" s="31"/>
      <c r="N30" s="27"/>
    </row>
    <row r="31" spans="1:14" ht="12.75">
      <c r="A31" s="6"/>
      <c r="B31" s="282" t="s">
        <v>111</v>
      </c>
      <c r="C31" s="666">
        <f>+C28/C16-1</f>
        <v>1.2315735063871287</v>
      </c>
      <c r="D31" s="63"/>
      <c r="E31" s="665">
        <f>+E28/E16-1</f>
        <v>1.2505271972768797</v>
      </c>
      <c r="F31" s="63"/>
      <c r="G31" s="96">
        <f>+G28/G16-1</f>
        <v>1.0603421215856002</v>
      </c>
      <c r="H31" s="98"/>
      <c r="I31" s="96">
        <f>+I28/I16-1</f>
        <v>0.4519127709257089</v>
      </c>
      <c r="J31" s="52"/>
      <c r="K31" s="66">
        <f>+K28/K16-1</f>
        <v>1.1643680144452824</v>
      </c>
      <c r="L31" s="6"/>
      <c r="M31" s="31"/>
      <c r="N31" s="27"/>
    </row>
    <row r="32" spans="1:14" ht="13.5" thickBot="1">
      <c r="A32" s="6"/>
      <c r="B32" s="281" t="s">
        <v>112</v>
      </c>
      <c r="C32" s="667">
        <f>+(C28/C16)^(1/12)-1</f>
        <v>0.06918026288394752</v>
      </c>
      <c r="D32" s="831"/>
      <c r="E32" s="832">
        <f>+(E28/E16)^(1/12)-1</f>
        <v>0.06993408262834278</v>
      </c>
      <c r="F32" s="831"/>
      <c r="G32" s="667">
        <f>+(G28/G16)^(1/12)-1</f>
        <v>0.06209071403898614</v>
      </c>
      <c r="H32" s="831"/>
      <c r="I32" s="667">
        <f>+(I28/I16)^(1/12)-1</f>
        <v>0.03156130705827298</v>
      </c>
      <c r="J32" s="832"/>
      <c r="K32" s="833">
        <f>+(K28/K16)^(1/12)-1</f>
        <v>0.06645923395015396</v>
      </c>
      <c r="L32" s="6"/>
      <c r="N32" s="27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N33" s="27"/>
    </row>
    <row r="34" spans="4:14" ht="15.75">
      <c r="D34" s="26"/>
      <c r="E34" s="26"/>
      <c r="F34" s="26"/>
      <c r="G34" s="26"/>
      <c r="H34" s="26"/>
      <c r="I34" s="23"/>
      <c r="J34" s="23"/>
      <c r="K34" s="24"/>
      <c r="L34" s="24"/>
      <c r="M34" s="24"/>
      <c r="N34" s="27"/>
    </row>
    <row r="35" ht="12.75">
      <c r="N35" s="27"/>
    </row>
    <row r="36" ht="12.75">
      <c r="N36" s="28"/>
    </row>
    <row r="55" spans="15:36" ht="12.75">
      <c r="O55" s="158"/>
      <c r="P55" s="234">
        <v>1992</v>
      </c>
      <c r="Q55" s="234">
        <v>1993</v>
      </c>
      <c r="R55" s="234">
        <v>1994</v>
      </c>
      <c r="S55" s="234">
        <v>1995</v>
      </c>
      <c r="T55" s="234">
        <v>1996</v>
      </c>
      <c r="U55" s="234">
        <v>1997</v>
      </c>
      <c r="V55" s="234">
        <v>1998</v>
      </c>
      <c r="W55" s="234">
        <v>1999</v>
      </c>
      <c r="X55" s="234">
        <v>2000</v>
      </c>
      <c r="Y55" s="234">
        <v>2001</v>
      </c>
      <c r="Z55" s="234">
        <v>2002</v>
      </c>
      <c r="AA55" s="234">
        <v>2003</v>
      </c>
      <c r="AB55" s="234">
        <v>2004</v>
      </c>
      <c r="AC55" s="234">
        <v>2005</v>
      </c>
      <c r="AD55" s="234">
        <v>2006</v>
      </c>
      <c r="AE55" s="234">
        <v>2007</v>
      </c>
      <c r="AF55" s="234">
        <v>2008</v>
      </c>
      <c r="AG55" s="234">
        <v>2009</v>
      </c>
      <c r="AH55" s="234">
        <v>2010</v>
      </c>
      <c r="AI55" s="234">
        <v>2011</v>
      </c>
      <c r="AJ55" s="234">
        <v>2012</v>
      </c>
    </row>
    <row r="56" spans="15:36" ht="12.75">
      <c r="O56" s="172" t="s">
        <v>40</v>
      </c>
      <c r="P56" s="177">
        <v>3109.254</v>
      </c>
      <c r="Q56" s="177">
        <v>3174.6043</v>
      </c>
      <c r="R56" s="177">
        <v>3855.262488</v>
      </c>
      <c r="S56" s="177">
        <v>3963.76629</v>
      </c>
      <c r="T56" s="177">
        <v>4305.296401</v>
      </c>
      <c r="U56" s="177">
        <v>6058.131118</v>
      </c>
      <c r="V56" s="177">
        <v>7473.848437</v>
      </c>
      <c r="W56" s="177">
        <v>7855.6</v>
      </c>
      <c r="X56" s="177">
        <v>8375.016653115</v>
      </c>
      <c r="Y56" s="177">
        <v>9280.560039965001</v>
      </c>
      <c r="Z56" s="177">
        <v>9567.606076848</v>
      </c>
      <c r="AA56" s="177">
        <v>10038.680803439998</v>
      </c>
      <c r="AB56" s="177">
        <v>11074.758817645607</v>
      </c>
      <c r="AC56" s="161">
        <v>11588.277687039452</v>
      </c>
      <c r="AD56" s="178">
        <v>12481.42189750605</v>
      </c>
      <c r="AE56" s="178">
        <v>14165.658529274375</v>
      </c>
      <c r="AF56" s="178">
        <v>15437.253867346535</v>
      </c>
      <c r="AG56" s="178">
        <v>14942.95020594519</v>
      </c>
      <c r="AH56" s="178">
        <v>16434.708415297537</v>
      </c>
      <c r="AI56" s="178">
        <v>17841.423398594416</v>
      </c>
      <c r="AJ56" s="178">
        <f>C28</f>
        <v>18689.465278642438</v>
      </c>
    </row>
    <row r="57" spans="15:36" ht="12.75">
      <c r="O57" s="172" t="s">
        <v>41</v>
      </c>
      <c r="P57" s="177">
        <v>1020.6469999999999</v>
      </c>
      <c r="Q57" s="177">
        <v>1601.7885</v>
      </c>
      <c r="R57" s="177">
        <v>1848.285648</v>
      </c>
      <c r="S57" s="177">
        <v>2248.668505</v>
      </c>
      <c r="T57" s="177">
        <v>2350.988429</v>
      </c>
      <c r="U57" s="177">
        <v>2480.103368</v>
      </c>
      <c r="V57" s="177">
        <v>2360.432139</v>
      </c>
      <c r="W57" s="177">
        <v>2420.3</v>
      </c>
      <c r="X57" s="177">
        <v>2693.3458028849996</v>
      </c>
      <c r="Y57" s="177">
        <v>2762.2040670349998</v>
      </c>
      <c r="Z57" s="177">
        <v>3013.11527</v>
      </c>
      <c r="AA57" s="177">
        <v>3341.09110656</v>
      </c>
      <c r="AB57" s="177">
        <v>3243.4254471762724</v>
      </c>
      <c r="AC57" s="161">
        <v>3460.342893311222</v>
      </c>
      <c r="AD57" s="178">
        <v>3760.348472826244</v>
      </c>
      <c r="AE57" s="178">
        <v>4023.5192699368326</v>
      </c>
      <c r="AF57" s="178">
        <v>4494.896012311768</v>
      </c>
      <c r="AG57" s="178">
        <v>4815.08100910374</v>
      </c>
      <c r="AH57" s="178">
        <v>5205.824371189548</v>
      </c>
      <c r="AI57" s="178">
        <v>5563.117986117448</v>
      </c>
      <c r="AJ57" s="178">
        <f>E28</f>
        <v>6061.447981064225</v>
      </c>
    </row>
    <row r="58" spans="15:36" ht="12.75">
      <c r="O58" s="172" t="s">
        <v>42</v>
      </c>
      <c r="P58" s="177">
        <v>2748.592</v>
      </c>
      <c r="Q58" s="177">
        <v>3063.5259</v>
      </c>
      <c r="R58" s="177">
        <v>3136.4847360000003</v>
      </c>
      <c r="S58" s="177">
        <v>3154.1445019999996</v>
      </c>
      <c r="T58" s="177">
        <v>3185.061631</v>
      </c>
      <c r="U58" s="177">
        <v>3385.523</v>
      </c>
      <c r="V58" s="177">
        <v>3639.3</v>
      </c>
      <c r="W58" s="177">
        <v>3772.7</v>
      </c>
      <c r="X58" s="177">
        <v>3936.241469000001</v>
      </c>
      <c r="Y58" s="177">
        <v>4043.968830999999</v>
      </c>
      <c r="Z58" s="177">
        <v>4464.875400000001</v>
      </c>
      <c r="AA58" s="177">
        <v>4425.337826999999</v>
      </c>
      <c r="AB58" s="177">
        <v>4720.009164178123</v>
      </c>
      <c r="AC58" s="161">
        <v>5020.735608899325</v>
      </c>
      <c r="AD58" s="178">
        <v>5404.368964667703</v>
      </c>
      <c r="AE58" s="178">
        <v>5877.1253377888</v>
      </c>
      <c r="AF58" s="178">
        <v>6357.319264341718</v>
      </c>
      <c r="AG58" s="178">
        <v>6644.5992379510635</v>
      </c>
      <c r="AH58" s="178">
        <v>7086.245333512921</v>
      </c>
      <c r="AI58" s="178">
        <v>7663.0902881815</v>
      </c>
      <c r="AJ58" s="178">
        <f>G28</f>
        <v>8110.004099312681</v>
      </c>
    </row>
    <row r="59" spans="15:36" ht="12.75">
      <c r="O59" s="172" t="s">
        <v>43</v>
      </c>
      <c r="P59" s="177">
        <v>382.728</v>
      </c>
      <c r="Q59" s="177">
        <v>471.45322</v>
      </c>
      <c r="R59" s="177">
        <v>494.74312799999996</v>
      </c>
      <c r="S59" s="177">
        <v>482.67683</v>
      </c>
      <c r="T59" s="177">
        <v>489.44557</v>
      </c>
      <c r="U59" s="177">
        <v>527.473</v>
      </c>
      <c r="V59" s="177">
        <v>535.0651</v>
      </c>
      <c r="W59" s="177">
        <v>543.3</v>
      </c>
      <c r="X59" s="177">
        <v>540.9919540000001</v>
      </c>
      <c r="Y59" s="177">
        <v>542.021618</v>
      </c>
      <c r="Z59" s="177">
        <v>559.7291200000001</v>
      </c>
      <c r="AA59" s="177">
        <v>570.225511</v>
      </c>
      <c r="AB59" s="177">
        <v>602.4576809999999</v>
      </c>
      <c r="AC59" s="161">
        <v>632.0266909722222</v>
      </c>
      <c r="AD59" s="178">
        <v>643.9218179999998</v>
      </c>
      <c r="AE59" s="178">
        <v>655.445416</v>
      </c>
      <c r="AF59" s="178">
        <v>674.9454520000002</v>
      </c>
      <c r="AG59" s="178">
        <v>684.375324</v>
      </c>
      <c r="AH59" s="178">
        <v>709.3970040000002</v>
      </c>
      <c r="AI59" s="178">
        <v>752.7191323577373</v>
      </c>
      <c r="AJ59" s="178">
        <f>I28</f>
        <v>785.4731269806538</v>
      </c>
    </row>
    <row r="60" spans="15:36" ht="12.75">
      <c r="O60" s="172" t="s">
        <v>3</v>
      </c>
      <c r="P60" s="177">
        <f>SUM(P56:P59)</f>
        <v>7261.2210000000005</v>
      </c>
      <c r="Q60" s="177">
        <f aca="true" t="shared" si="5" ref="Q60:AI60">SUM(Q56:Q59)</f>
        <v>8311.37192</v>
      </c>
      <c r="R60" s="177">
        <f t="shared" si="5"/>
        <v>9334.776</v>
      </c>
      <c r="S60" s="177">
        <f t="shared" si="5"/>
        <v>9849.256127</v>
      </c>
      <c r="T60" s="177">
        <f t="shared" si="5"/>
        <v>10330.792030999999</v>
      </c>
      <c r="U60" s="177">
        <f t="shared" si="5"/>
        <v>12451.230486000002</v>
      </c>
      <c r="V60" s="177">
        <f t="shared" si="5"/>
        <v>14008.645676</v>
      </c>
      <c r="W60" s="177">
        <f t="shared" si="5"/>
        <v>14591.900000000001</v>
      </c>
      <c r="X60" s="177">
        <f t="shared" si="5"/>
        <v>15545.595879</v>
      </c>
      <c r="Y60" s="177">
        <f t="shared" si="5"/>
        <v>16628.754556</v>
      </c>
      <c r="Z60" s="177">
        <f t="shared" si="5"/>
        <v>17605.325866848</v>
      </c>
      <c r="AA60" s="177">
        <f t="shared" si="5"/>
        <v>18375.335248</v>
      </c>
      <c r="AB60" s="177">
        <f t="shared" si="5"/>
        <v>19640.651110000003</v>
      </c>
      <c r="AC60" s="161">
        <f t="shared" si="5"/>
        <v>20701.382880222223</v>
      </c>
      <c r="AD60" s="178">
        <f t="shared" si="5"/>
        <v>22290.061153</v>
      </c>
      <c r="AE60" s="178">
        <f t="shared" si="5"/>
        <v>24721.748553000005</v>
      </c>
      <c r="AF60" s="178">
        <f t="shared" si="5"/>
        <v>26964.41459600002</v>
      </c>
      <c r="AG60" s="178">
        <f t="shared" si="5"/>
        <v>27087.005776999995</v>
      </c>
      <c r="AH60" s="178">
        <f t="shared" si="5"/>
        <v>29436.175124000005</v>
      </c>
      <c r="AI60" s="178">
        <f t="shared" si="5"/>
        <v>31820.3508052511</v>
      </c>
      <c r="AJ60" s="178">
        <f>SUM(AJ56:AJ59)</f>
        <v>33646.390486</v>
      </c>
    </row>
  </sheetData>
  <sheetProtection/>
  <mergeCells count="6">
    <mergeCell ref="I6:J7"/>
    <mergeCell ref="K6:K7"/>
    <mergeCell ref="C6:D7"/>
    <mergeCell ref="B6:B7"/>
    <mergeCell ref="E6:F7"/>
    <mergeCell ref="G6:H7"/>
  </mergeCells>
  <printOptions/>
  <pageMargins left="0.9" right="0.21" top="0.94" bottom="1" header="0" footer="0"/>
  <pageSetup fitToHeight="1" fitToWidth="1" horizontalDpi="600" verticalDpi="600" orientation="portrait" paperSize="9" scale="76" r:id="rId2"/>
  <ignoredErrors>
    <ignoredError sqref="I10 I13 G10 G13 E8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subject/>
  <dc:creator>POCHOA</dc:creator>
  <cp:keywords/>
  <dc:description>Contiene Pot.; Prod.; Incre. y Crec. Med; Vent. y Núm.Clien.</dc:description>
  <cp:lastModifiedBy>Sandoval Ysela</cp:lastModifiedBy>
  <cp:lastPrinted>2014-07-23T16:11:49Z</cp:lastPrinted>
  <dcterms:created xsi:type="dcterms:W3CDTF">2001-10-29T20:06:41Z</dcterms:created>
  <dcterms:modified xsi:type="dcterms:W3CDTF">2014-07-23T16:12:16Z</dcterms:modified>
  <cp:category/>
  <cp:version/>
  <cp:contentType/>
  <cp:contentStatus/>
</cp:coreProperties>
</file>